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merrit\Desktop\"/>
    </mc:Choice>
  </mc:AlternateContent>
  <xr:revisionPtr revIDLastSave="0" documentId="8_{B2049756-8237-4735-8FFE-D07525CE437B}" xr6:coauthVersionLast="36" xr6:coauthVersionMax="36" xr10:uidLastSave="{00000000-0000-0000-0000-000000000000}"/>
  <bookViews>
    <workbookView xWindow="0" yWindow="0" windowWidth="28800" windowHeight="11685"/>
  </bookViews>
  <sheets>
    <sheet name="SponsorAndSiteContactsReport" sheetId="1" r:id="rId1"/>
  </sheets>
  <calcPr calcId="0"/>
</workbook>
</file>

<file path=xl/calcChain.xml><?xml version="1.0" encoding="utf-8"?>
<calcChain xmlns="http://schemas.openxmlformats.org/spreadsheetml/2006/main">
  <c r="B2" i="1" l="1"/>
  <c r="E2" i="1"/>
  <c r="K2" i="1"/>
  <c r="L2" i="1"/>
  <c r="M2" i="1"/>
  <c r="N2" i="1"/>
  <c r="T2" i="1"/>
  <c r="U2" i="1"/>
  <c r="Z2" i="1"/>
  <c r="AA2" i="1"/>
  <c r="B3" i="1"/>
  <c r="E3" i="1"/>
  <c r="K3" i="1"/>
  <c r="L3" i="1"/>
  <c r="M3" i="1"/>
  <c r="N3" i="1"/>
  <c r="T3" i="1"/>
  <c r="U3" i="1"/>
  <c r="Z3" i="1"/>
  <c r="AA3" i="1"/>
  <c r="B4" i="1"/>
  <c r="E4" i="1"/>
  <c r="K4" i="1"/>
  <c r="L4" i="1"/>
  <c r="M4" i="1"/>
  <c r="N4" i="1"/>
  <c r="T4" i="1"/>
  <c r="U4" i="1"/>
  <c r="Z4" i="1"/>
  <c r="AA4" i="1"/>
  <c r="B5" i="1"/>
  <c r="E5" i="1"/>
  <c r="K5" i="1"/>
  <c r="L5" i="1"/>
  <c r="M5" i="1"/>
  <c r="N5" i="1"/>
  <c r="T5" i="1"/>
  <c r="U5" i="1"/>
  <c r="Z5" i="1"/>
  <c r="AA5" i="1"/>
  <c r="B6" i="1"/>
  <c r="E6" i="1"/>
  <c r="K6" i="1"/>
  <c r="L6" i="1"/>
  <c r="M6" i="1"/>
  <c r="N6" i="1"/>
  <c r="T6" i="1"/>
  <c r="U6" i="1"/>
  <c r="Z6" i="1"/>
  <c r="AA6" i="1"/>
  <c r="B7" i="1"/>
  <c r="E7" i="1"/>
  <c r="K7" i="1"/>
  <c r="L7" i="1"/>
  <c r="M7" i="1"/>
  <c r="N7" i="1"/>
  <c r="T7" i="1"/>
  <c r="U7" i="1"/>
  <c r="Z7" i="1"/>
  <c r="AA7" i="1"/>
  <c r="B8" i="1"/>
  <c r="E8" i="1"/>
  <c r="K8" i="1"/>
  <c r="L8" i="1"/>
  <c r="M8" i="1"/>
  <c r="N8" i="1"/>
  <c r="T8" i="1"/>
  <c r="U8" i="1"/>
  <c r="Z8" i="1"/>
  <c r="AA8" i="1"/>
  <c r="B9" i="1"/>
  <c r="E9" i="1"/>
  <c r="K9" i="1"/>
  <c r="L9" i="1"/>
  <c r="M9" i="1"/>
  <c r="N9" i="1"/>
  <c r="T9" i="1"/>
  <c r="U9" i="1"/>
  <c r="Z9" i="1"/>
  <c r="AA9" i="1"/>
  <c r="B10" i="1"/>
  <c r="E10" i="1"/>
  <c r="K10" i="1"/>
  <c r="L10" i="1"/>
  <c r="M10" i="1"/>
  <c r="N10" i="1"/>
  <c r="T10" i="1"/>
  <c r="U10" i="1"/>
  <c r="Z10" i="1"/>
  <c r="AA10" i="1"/>
  <c r="B11" i="1"/>
  <c r="E11" i="1"/>
  <c r="K11" i="1"/>
  <c r="L11" i="1"/>
  <c r="M11" i="1"/>
  <c r="N11" i="1"/>
  <c r="T11" i="1"/>
  <c r="U11" i="1"/>
  <c r="Z11" i="1"/>
  <c r="AA11" i="1"/>
  <c r="B12" i="1"/>
  <c r="E12" i="1"/>
  <c r="K12" i="1"/>
  <c r="L12" i="1"/>
  <c r="M12" i="1"/>
  <c r="N12" i="1"/>
  <c r="T12" i="1"/>
  <c r="U12" i="1"/>
  <c r="Z12" i="1"/>
  <c r="AA12" i="1"/>
  <c r="B13" i="1"/>
  <c r="E13" i="1"/>
  <c r="K13" i="1"/>
  <c r="L13" i="1"/>
  <c r="M13" i="1"/>
  <c r="N13" i="1"/>
  <c r="T13" i="1"/>
  <c r="U13" i="1"/>
  <c r="Z13" i="1"/>
  <c r="AA13" i="1"/>
  <c r="B14" i="1"/>
  <c r="E14" i="1"/>
  <c r="K14" i="1"/>
  <c r="L14" i="1"/>
  <c r="M14" i="1"/>
  <c r="N14" i="1"/>
  <c r="T14" i="1"/>
  <c r="U14" i="1"/>
  <c r="Z14" i="1"/>
  <c r="AA14" i="1"/>
  <c r="B15" i="1"/>
  <c r="E15" i="1"/>
  <c r="K15" i="1"/>
  <c r="L15" i="1"/>
  <c r="M15" i="1"/>
  <c r="N15" i="1"/>
  <c r="T15" i="1"/>
  <c r="U15" i="1"/>
  <c r="Z15" i="1"/>
  <c r="AA15" i="1"/>
  <c r="B16" i="1"/>
  <c r="E16" i="1"/>
  <c r="K16" i="1"/>
  <c r="L16" i="1"/>
  <c r="M16" i="1"/>
  <c r="N16" i="1"/>
  <c r="T16" i="1"/>
  <c r="U16" i="1"/>
  <c r="Z16" i="1"/>
  <c r="AA16" i="1"/>
  <c r="B17" i="1"/>
  <c r="E17" i="1"/>
  <c r="K17" i="1"/>
  <c r="L17" i="1"/>
  <c r="M17" i="1"/>
  <c r="N17" i="1"/>
  <c r="T17" i="1"/>
  <c r="U17" i="1"/>
  <c r="Z17" i="1"/>
  <c r="AA17" i="1"/>
  <c r="B18" i="1"/>
  <c r="E18" i="1"/>
  <c r="K18" i="1"/>
  <c r="L18" i="1"/>
  <c r="M18" i="1"/>
  <c r="N18" i="1"/>
  <c r="T18" i="1"/>
  <c r="U18" i="1"/>
  <c r="Z18" i="1"/>
  <c r="AA18" i="1"/>
  <c r="B19" i="1"/>
  <c r="E19" i="1"/>
  <c r="K19" i="1"/>
  <c r="L19" i="1"/>
  <c r="M19" i="1"/>
  <c r="N19" i="1"/>
  <c r="T19" i="1"/>
  <c r="U19" i="1"/>
  <c r="Z19" i="1"/>
  <c r="AA19" i="1"/>
  <c r="B20" i="1"/>
  <c r="E20" i="1"/>
  <c r="K20" i="1"/>
  <c r="L20" i="1"/>
  <c r="M20" i="1"/>
  <c r="N20" i="1"/>
  <c r="T20" i="1"/>
  <c r="U20" i="1"/>
  <c r="Z20" i="1"/>
  <c r="AA20" i="1"/>
  <c r="B21" i="1"/>
  <c r="E21" i="1"/>
  <c r="K21" i="1"/>
  <c r="L21" i="1"/>
  <c r="M21" i="1"/>
  <c r="N21" i="1"/>
  <c r="T21" i="1"/>
  <c r="U21" i="1"/>
  <c r="Z21" i="1"/>
  <c r="AA21" i="1"/>
  <c r="B22" i="1"/>
  <c r="E22" i="1"/>
  <c r="K22" i="1"/>
  <c r="L22" i="1"/>
  <c r="M22" i="1"/>
  <c r="N22" i="1"/>
  <c r="T22" i="1"/>
  <c r="U22" i="1"/>
  <c r="Z22" i="1"/>
  <c r="AA22" i="1"/>
  <c r="B23" i="1"/>
  <c r="E23" i="1"/>
  <c r="K23" i="1"/>
  <c r="L23" i="1"/>
  <c r="M23" i="1"/>
  <c r="N23" i="1"/>
  <c r="T23" i="1"/>
  <c r="U23" i="1"/>
  <c r="Z23" i="1"/>
  <c r="AA23" i="1"/>
  <c r="B24" i="1"/>
  <c r="E24" i="1"/>
  <c r="K24" i="1"/>
  <c r="L24" i="1"/>
  <c r="M24" i="1"/>
  <c r="N24" i="1"/>
  <c r="T24" i="1"/>
  <c r="U24" i="1"/>
  <c r="Z24" i="1"/>
  <c r="AA24" i="1"/>
  <c r="B25" i="1"/>
  <c r="E25" i="1"/>
  <c r="K25" i="1"/>
  <c r="L25" i="1"/>
  <c r="M25" i="1"/>
  <c r="N25" i="1"/>
  <c r="T25" i="1"/>
  <c r="U25" i="1"/>
  <c r="Z25" i="1"/>
  <c r="AA25" i="1"/>
  <c r="B26" i="1"/>
  <c r="E26" i="1"/>
  <c r="K26" i="1"/>
  <c r="L26" i="1"/>
  <c r="M26" i="1"/>
  <c r="N26" i="1"/>
  <c r="T26" i="1"/>
  <c r="U26" i="1"/>
  <c r="Z26" i="1"/>
  <c r="AA26" i="1"/>
  <c r="B27" i="1"/>
  <c r="E27" i="1"/>
  <c r="K27" i="1"/>
  <c r="L27" i="1"/>
  <c r="M27" i="1"/>
  <c r="N27" i="1"/>
  <c r="T27" i="1"/>
  <c r="U27" i="1"/>
  <c r="Z27" i="1"/>
  <c r="AA27" i="1"/>
  <c r="B28" i="1"/>
  <c r="E28" i="1"/>
  <c r="K28" i="1"/>
  <c r="L28" i="1"/>
  <c r="M28" i="1"/>
  <c r="N28" i="1"/>
  <c r="T28" i="1"/>
  <c r="U28" i="1"/>
  <c r="Z28" i="1"/>
  <c r="AA28" i="1"/>
  <c r="B29" i="1"/>
  <c r="E29" i="1"/>
  <c r="K29" i="1"/>
  <c r="L29" i="1"/>
  <c r="M29" i="1"/>
  <c r="N29" i="1"/>
  <c r="T29" i="1"/>
  <c r="U29" i="1"/>
  <c r="Z29" i="1"/>
  <c r="AA29" i="1"/>
  <c r="B30" i="1"/>
  <c r="E30" i="1"/>
  <c r="K30" i="1"/>
  <c r="L30" i="1"/>
  <c r="M30" i="1"/>
  <c r="N30" i="1"/>
  <c r="T30" i="1"/>
  <c r="U30" i="1"/>
  <c r="Z30" i="1"/>
  <c r="AA30" i="1"/>
  <c r="B31" i="1"/>
  <c r="E31" i="1"/>
  <c r="K31" i="1"/>
  <c r="L31" i="1"/>
  <c r="M31" i="1"/>
  <c r="N31" i="1"/>
  <c r="T31" i="1"/>
  <c r="U31" i="1"/>
  <c r="Z31" i="1"/>
  <c r="AA31" i="1"/>
  <c r="B32" i="1"/>
  <c r="E32" i="1"/>
  <c r="K32" i="1"/>
  <c r="L32" i="1"/>
  <c r="M32" i="1"/>
  <c r="N32" i="1"/>
  <c r="T32" i="1"/>
  <c r="U32" i="1"/>
  <c r="Z32" i="1"/>
  <c r="AA32" i="1"/>
  <c r="B33" i="1"/>
  <c r="E33" i="1"/>
  <c r="K33" i="1"/>
  <c r="L33" i="1"/>
  <c r="M33" i="1"/>
  <c r="N33" i="1"/>
  <c r="T33" i="1"/>
  <c r="U33" i="1"/>
  <c r="Z33" i="1"/>
  <c r="AA33" i="1"/>
  <c r="B34" i="1"/>
  <c r="E34" i="1"/>
  <c r="K34" i="1"/>
  <c r="L34" i="1"/>
  <c r="M34" i="1"/>
  <c r="N34" i="1"/>
  <c r="T34" i="1"/>
  <c r="U34" i="1"/>
  <c r="Z34" i="1"/>
  <c r="AA34" i="1"/>
  <c r="B35" i="1"/>
  <c r="E35" i="1"/>
  <c r="K35" i="1"/>
  <c r="L35" i="1"/>
  <c r="M35" i="1"/>
  <c r="N35" i="1"/>
  <c r="T35" i="1"/>
  <c r="U35" i="1"/>
  <c r="Z35" i="1"/>
  <c r="AA35" i="1"/>
  <c r="B36" i="1"/>
  <c r="E36" i="1"/>
  <c r="K36" i="1"/>
  <c r="L36" i="1"/>
  <c r="M36" i="1"/>
  <c r="N36" i="1"/>
  <c r="T36" i="1"/>
  <c r="U36" i="1"/>
  <c r="Z36" i="1"/>
  <c r="AA36" i="1"/>
  <c r="B37" i="1"/>
  <c r="E37" i="1"/>
  <c r="K37" i="1"/>
  <c r="L37" i="1"/>
  <c r="M37" i="1"/>
  <c r="N37" i="1"/>
  <c r="T37" i="1"/>
  <c r="U37" i="1"/>
  <c r="Z37" i="1"/>
  <c r="AA37" i="1"/>
  <c r="B38" i="1"/>
  <c r="E38" i="1"/>
  <c r="K38" i="1"/>
  <c r="L38" i="1"/>
  <c r="M38" i="1"/>
  <c r="N38" i="1"/>
  <c r="T38" i="1"/>
  <c r="U38" i="1"/>
  <c r="Z38" i="1"/>
  <c r="AA38" i="1"/>
  <c r="B39" i="1"/>
  <c r="E39" i="1"/>
  <c r="K39" i="1"/>
  <c r="L39" i="1"/>
  <c r="M39" i="1"/>
  <c r="N39" i="1"/>
  <c r="T39" i="1"/>
  <c r="U39" i="1"/>
  <c r="Z39" i="1"/>
  <c r="AA39" i="1"/>
  <c r="B40" i="1"/>
  <c r="E40" i="1"/>
  <c r="K40" i="1"/>
  <c r="L40" i="1"/>
  <c r="M40" i="1"/>
  <c r="N40" i="1"/>
  <c r="T40" i="1"/>
  <c r="U40" i="1"/>
  <c r="Z40" i="1"/>
  <c r="AA40" i="1"/>
  <c r="B41" i="1"/>
  <c r="E41" i="1"/>
  <c r="K41" i="1"/>
  <c r="L41" i="1"/>
  <c r="M41" i="1"/>
  <c r="N41" i="1"/>
  <c r="T41" i="1"/>
  <c r="U41" i="1"/>
  <c r="Z41" i="1"/>
  <c r="AA41" i="1"/>
  <c r="B42" i="1"/>
  <c r="E42" i="1"/>
  <c r="K42" i="1"/>
  <c r="L42" i="1"/>
  <c r="M42" i="1"/>
  <c r="N42" i="1"/>
  <c r="T42" i="1"/>
  <c r="U42" i="1"/>
  <c r="Z42" i="1"/>
  <c r="AA42" i="1"/>
  <c r="B43" i="1"/>
  <c r="E43" i="1"/>
  <c r="K43" i="1"/>
  <c r="L43" i="1"/>
  <c r="M43" i="1"/>
  <c r="N43" i="1"/>
  <c r="T43" i="1"/>
  <c r="U43" i="1"/>
  <c r="Z43" i="1"/>
  <c r="AA43" i="1"/>
  <c r="B44" i="1"/>
  <c r="E44" i="1"/>
  <c r="K44" i="1"/>
  <c r="L44" i="1"/>
  <c r="M44" i="1"/>
  <c r="N44" i="1"/>
  <c r="T44" i="1"/>
  <c r="U44" i="1"/>
  <c r="Z44" i="1"/>
  <c r="AA44" i="1"/>
  <c r="B45" i="1"/>
  <c r="E45" i="1"/>
  <c r="K45" i="1"/>
  <c r="L45" i="1"/>
  <c r="M45" i="1"/>
  <c r="N45" i="1"/>
  <c r="T45" i="1"/>
  <c r="U45" i="1"/>
  <c r="Z45" i="1"/>
  <c r="AA45" i="1"/>
  <c r="B46" i="1"/>
  <c r="E46" i="1"/>
  <c r="K46" i="1"/>
  <c r="L46" i="1"/>
  <c r="M46" i="1"/>
  <c r="N46" i="1"/>
  <c r="T46" i="1"/>
  <c r="U46" i="1"/>
  <c r="Z46" i="1"/>
  <c r="AA46" i="1"/>
  <c r="B47" i="1"/>
  <c r="E47" i="1"/>
  <c r="K47" i="1"/>
  <c r="L47" i="1"/>
  <c r="M47" i="1"/>
  <c r="N47" i="1"/>
  <c r="T47" i="1"/>
  <c r="U47" i="1"/>
  <c r="Z47" i="1"/>
  <c r="AA47" i="1"/>
  <c r="B48" i="1"/>
  <c r="E48" i="1"/>
  <c r="K48" i="1"/>
  <c r="L48" i="1"/>
  <c r="M48" i="1"/>
  <c r="N48" i="1"/>
  <c r="T48" i="1"/>
  <c r="U48" i="1"/>
  <c r="Z48" i="1"/>
  <c r="AA48" i="1"/>
  <c r="B49" i="1"/>
  <c r="E49" i="1"/>
  <c r="K49" i="1"/>
  <c r="L49" i="1"/>
  <c r="M49" i="1"/>
  <c r="N49" i="1"/>
  <c r="T49" i="1"/>
  <c r="U49" i="1"/>
  <c r="Z49" i="1"/>
  <c r="AA49" i="1"/>
  <c r="B50" i="1"/>
  <c r="E50" i="1"/>
  <c r="K50" i="1"/>
  <c r="L50" i="1"/>
  <c r="M50" i="1"/>
  <c r="N50" i="1"/>
  <c r="T50" i="1"/>
  <c r="U50" i="1"/>
  <c r="Z50" i="1"/>
  <c r="AA50" i="1"/>
  <c r="B51" i="1"/>
  <c r="E51" i="1"/>
  <c r="K51" i="1"/>
  <c r="L51" i="1"/>
  <c r="M51" i="1"/>
  <c r="N51" i="1"/>
  <c r="T51" i="1"/>
  <c r="U51" i="1"/>
  <c r="Z51" i="1"/>
  <c r="AA51" i="1"/>
  <c r="B52" i="1"/>
  <c r="E52" i="1"/>
  <c r="K52" i="1"/>
  <c r="L52" i="1"/>
  <c r="M52" i="1"/>
  <c r="N52" i="1"/>
  <c r="T52" i="1"/>
  <c r="U52" i="1"/>
  <c r="Z52" i="1"/>
  <c r="AA52" i="1"/>
  <c r="B53" i="1"/>
  <c r="E53" i="1"/>
  <c r="K53" i="1"/>
  <c r="L53" i="1"/>
  <c r="M53" i="1"/>
  <c r="N53" i="1"/>
  <c r="T53" i="1"/>
  <c r="U53" i="1"/>
  <c r="Z53" i="1"/>
  <c r="AA53" i="1"/>
  <c r="B54" i="1"/>
  <c r="E54" i="1"/>
  <c r="K54" i="1"/>
  <c r="L54" i="1"/>
  <c r="M54" i="1"/>
  <c r="N54" i="1"/>
  <c r="T54" i="1"/>
  <c r="U54" i="1"/>
  <c r="Z54" i="1"/>
  <c r="AA54" i="1"/>
  <c r="B55" i="1"/>
  <c r="E55" i="1"/>
  <c r="K55" i="1"/>
  <c r="L55" i="1"/>
  <c r="M55" i="1"/>
  <c r="N55" i="1"/>
  <c r="T55" i="1"/>
  <c r="U55" i="1"/>
  <c r="Z55" i="1"/>
  <c r="AA55" i="1"/>
  <c r="B56" i="1"/>
  <c r="E56" i="1"/>
  <c r="K56" i="1"/>
  <c r="L56" i="1"/>
  <c r="M56" i="1"/>
  <c r="N56" i="1"/>
  <c r="T56" i="1"/>
  <c r="U56" i="1"/>
  <c r="Z56" i="1"/>
  <c r="AA56" i="1"/>
  <c r="B57" i="1"/>
  <c r="E57" i="1"/>
  <c r="K57" i="1"/>
  <c r="L57" i="1"/>
  <c r="M57" i="1"/>
  <c r="N57" i="1"/>
  <c r="T57" i="1"/>
  <c r="U57" i="1"/>
  <c r="Z57" i="1"/>
  <c r="AA57" i="1"/>
  <c r="B58" i="1"/>
  <c r="E58" i="1"/>
  <c r="K58" i="1"/>
  <c r="L58" i="1"/>
  <c r="M58" i="1"/>
  <c r="N58" i="1"/>
  <c r="T58" i="1"/>
  <c r="U58" i="1"/>
  <c r="Z58" i="1"/>
  <c r="AA58" i="1"/>
  <c r="B59" i="1"/>
  <c r="E59" i="1"/>
  <c r="K59" i="1"/>
  <c r="L59" i="1"/>
  <c r="M59" i="1"/>
  <c r="N59" i="1"/>
  <c r="T59" i="1"/>
  <c r="U59" i="1"/>
  <c r="Z59" i="1"/>
  <c r="AA59" i="1"/>
  <c r="B60" i="1"/>
  <c r="E60" i="1"/>
  <c r="K60" i="1"/>
  <c r="L60" i="1"/>
  <c r="M60" i="1"/>
  <c r="N60" i="1"/>
  <c r="T60" i="1"/>
  <c r="U60" i="1"/>
  <c r="Z60" i="1"/>
  <c r="AA60" i="1"/>
  <c r="B61" i="1"/>
  <c r="E61" i="1"/>
  <c r="K61" i="1"/>
  <c r="L61" i="1"/>
  <c r="M61" i="1"/>
  <c r="N61" i="1"/>
  <c r="T61" i="1"/>
  <c r="U61" i="1"/>
  <c r="Z61" i="1"/>
  <c r="AA61" i="1"/>
  <c r="B62" i="1"/>
  <c r="E62" i="1"/>
  <c r="K62" i="1"/>
  <c r="L62" i="1"/>
  <c r="M62" i="1"/>
  <c r="N62" i="1"/>
  <c r="T62" i="1"/>
  <c r="U62" i="1"/>
  <c r="Z62" i="1"/>
  <c r="AA62" i="1"/>
  <c r="B63" i="1"/>
  <c r="E63" i="1"/>
  <c r="K63" i="1"/>
  <c r="L63" i="1"/>
  <c r="M63" i="1"/>
  <c r="N63" i="1"/>
  <c r="T63" i="1"/>
  <c r="U63" i="1"/>
  <c r="Z63" i="1"/>
  <c r="AA63" i="1"/>
  <c r="B64" i="1"/>
  <c r="E64" i="1"/>
  <c r="K64" i="1"/>
  <c r="L64" i="1"/>
  <c r="M64" i="1"/>
  <c r="N64" i="1"/>
  <c r="T64" i="1"/>
  <c r="U64" i="1"/>
  <c r="Z64" i="1"/>
  <c r="AA64" i="1"/>
  <c r="B65" i="1"/>
  <c r="E65" i="1"/>
  <c r="K65" i="1"/>
  <c r="L65" i="1"/>
  <c r="M65" i="1"/>
  <c r="N65" i="1"/>
  <c r="T65" i="1"/>
  <c r="U65" i="1"/>
  <c r="Z65" i="1"/>
  <c r="AA65" i="1"/>
  <c r="B66" i="1"/>
  <c r="E66" i="1"/>
  <c r="K66" i="1"/>
  <c r="L66" i="1"/>
  <c r="M66" i="1"/>
  <c r="N66" i="1"/>
  <c r="T66" i="1"/>
  <c r="U66" i="1"/>
  <c r="Z66" i="1"/>
  <c r="AA66" i="1"/>
  <c r="B67" i="1"/>
  <c r="E67" i="1"/>
  <c r="K67" i="1"/>
  <c r="L67" i="1"/>
  <c r="M67" i="1"/>
  <c r="N67" i="1"/>
  <c r="T67" i="1"/>
  <c r="U67" i="1"/>
  <c r="Z67" i="1"/>
  <c r="AA67" i="1"/>
  <c r="B68" i="1"/>
  <c r="E68" i="1"/>
  <c r="K68" i="1"/>
  <c r="L68" i="1"/>
  <c r="M68" i="1"/>
  <c r="N68" i="1"/>
  <c r="T68" i="1"/>
  <c r="U68" i="1"/>
  <c r="Z68" i="1"/>
  <c r="AA68" i="1"/>
  <c r="B69" i="1"/>
  <c r="E69" i="1"/>
  <c r="K69" i="1"/>
  <c r="L69" i="1"/>
  <c r="M69" i="1"/>
  <c r="N69" i="1"/>
  <c r="T69" i="1"/>
  <c r="U69" i="1"/>
  <c r="Z69" i="1"/>
  <c r="AA69" i="1"/>
  <c r="B70" i="1"/>
  <c r="E70" i="1"/>
  <c r="K70" i="1"/>
  <c r="L70" i="1"/>
  <c r="M70" i="1"/>
  <c r="N70" i="1"/>
  <c r="T70" i="1"/>
  <c r="U70" i="1"/>
  <c r="Z70" i="1"/>
  <c r="AA70" i="1"/>
  <c r="B71" i="1"/>
  <c r="E71" i="1"/>
  <c r="K71" i="1"/>
  <c r="L71" i="1"/>
  <c r="M71" i="1"/>
  <c r="N71" i="1"/>
  <c r="T71" i="1"/>
  <c r="U71" i="1"/>
  <c r="Z71" i="1"/>
  <c r="AA71" i="1"/>
  <c r="B72" i="1"/>
  <c r="E72" i="1"/>
  <c r="K72" i="1"/>
  <c r="L72" i="1"/>
  <c r="M72" i="1"/>
  <c r="N72" i="1"/>
  <c r="T72" i="1"/>
  <c r="U72" i="1"/>
  <c r="Z72" i="1"/>
  <c r="AA72" i="1"/>
  <c r="B73" i="1"/>
  <c r="E73" i="1"/>
  <c r="K73" i="1"/>
  <c r="L73" i="1"/>
  <c r="M73" i="1"/>
  <c r="N73" i="1"/>
  <c r="T73" i="1"/>
  <c r="U73" i="1"/>
  <c r="Z73" i="1"/>
  <c r="AA73" i="1"/>
  <c r="B74" i="1"/>
  <c r="E74" i="1"/>
  <c r="K74" i="1"/>
  <c r="L74" i="1"/>
  <c r="M74" i="1"/>
  <c r="N74" i="1"/>
  <c r="T74" i="1"/>
  <c r="U74" i="1"/>
  <c r="Z74" i="1"/>
  <c r="AA74" i="1"/>
  <c r="B75" i="1"/>
  <c r="E75" i="1"/>
  <c r="K75" i="1"/>
  <c r="L75" i="1"/>
  <c r="M75" i="1"/>
  <c r="N75" i="1"/>
  <c r="T75" i="1"/>
  <c r="U75" i="1"/>
  <c r="Z75" i="1"/>
  <c r="AA75" i="1"/>
  <c r="B76" i="1"/>
  <c r="E76" i="1"/>
  <c r="K76" i="1"/>
  <c r="L76" i="1"/>
  <c r="M76" i="1"/>
  <c r="N76" i="1"/>
  <c r="T76" i="1"/>
  <c r="U76" i="1"/>
  <c r="Z76" i="1"/>
  <c r="AA76" i="1"/>
  <c r="B77" i="1"/>
  <c r="E77" i="1"/>
  <c r="K77" i="1"/>
  <c r="L77" i="1"/>
  <c r="M77" i="1"/>
  <c r="N77" i="1"/>
  <c r="T77" i="1"/>
  <c r="U77" i="1"/>
  <c r="Z77" i="1"/>
  <c r="AA77" i="1"/>
  <c r="B78" i="1"/>
  <c r="E78" i="1"/>
  <c r="K78" i="1"/>
  <c r="L78" i="1"/>
  <c r="M78" i="1"/>
  <c r="N78" i="1"/>
  <c r="T78" i="1"/>
  <c r="U78" i="1"/>
  <c r="Z78" i="1"/>
  <c r="AA78" i="1"/>
  <c r="B79" i="1"/>
  <c r="E79" i="1"/>
  <c r="K79" i="1"/>
  <c r="L79" i="1"/>
  <c r="M79" i="1"/>
  <c r="N79" i="1"/>
  <c r="T79" i="1"/>
  <c r="U79" i="1"/>
  <c r="Z79" i="1"/>
  <c r="AA79" i="1"/>
  <c r="B80" i="1"/>
  <c r="E80" i="1"/>
  <c r="K80" i="1"/>
  <c r="L80" i="1"/>
  <c r="M80" i="1"/>
  <c r="N80" i="1"/>
  <c r="T80" i="1"/>
  <c r="U80" i="1"/>
  <c r="Z80" i="1"/>
  <c r="AA80" i="1"/>
  <c r="B81" i="1"/>
  <c r="E81" i="1"/>
  <c r="K81" i="1"/>
  <c r="L81" i="1"/>
  <c r="M81" i="1"/>
  <c r="N81" i="1"/>
  <c r="T81" i="1"/>
  <c r="U81" i="1"/>
  <c r="Z81" i="1"/>
  <c r="AA81" i="1"/>
  <c r="B82" i="1"/>
  <c r="E82" i="1"/>
  <c r="K82" i="1"/>
  <c r="L82" i="1"/>
  <c r="M82" i="1"/>
  <c r="N82" i="1"/>
  <c r="T82" i="1"/>
  <c r="U82" i="1"/>
  <c r="Z82" i="1"/>
  <c r="AA82" i="1"/>
  <c r="B83" i="1"/>
  <c r="E83" i="1"/>
  <c r="K83" i="1"/>
  <c r="L83" i="1"/>
  <c r="M83" i="1"/>
  <c r="N83" i="1"/>
  <c r="T83" i="1"/>
  <c r="U83" i="1"/>
  <c r="Z83" i="1"/>
  <c r="AA83" i="1"/>
  <c r="B84" i="1"/>
  <c r="E84" i="1"/>
  <c r="K84" i="1"/>
  <c r="L84" i="1"/>
  <c r="M84" i="1"/>
  <c r="N84" i="1"/>
  <c r="T84" i="1"/>
  <c r="U84" i="1"/>
  <c r="Z84" i="1"/>
  <c r="AA84" i="1"/>
  <c r="B85" i="1"/>
  <c r="E85" i="1"/>
  <c r="K85" i="1"/>
  <c r="L85" i="1"/>
  <c r="M85" i="1"/>
  <c r="N85" i="1"/>
  <c r="T85" i="1"/>
  <c r="U85" i="1"/>
  <c r="Z85" i="1"/>
  <c r="AA85" i="1"/>
  <c r="B86" i="1"/>
  <c r="E86" i="1"/>
  <c r="K86" i="1"/>
  <c r="L86" i="1"/>
  <c r="M86" i="1"/>
  <c r="N86" i="1"/>
  <c r="T86" i="1"/>
  <c r="U86" i="1"/>
  <c r="Z86" i="1"/>
  <c r="AA86" i="1"/>
  <c r="B87" i="1"/>
  <c r="E87" i="1"/>
  <c r="K87" i="1"/>
  <c r="L87" i="1"/>
  <c r="M87" i="1"/>
  <c r="N87" i="1"/>
  <c r="T87" i="1"/>
  <c r="U87" i="1"/>
  <c r="Z87" i="1"/>
  <c r="AA87" i="1"/>
  <c r="B88" i="1"/>
  <c r="E88" i="1"/>
  <c r="K88" i="1"/>
  <c r="L88" i="1"/>
  <c r="M88" i="1"/>
  <c r="N88" i="1"/>
  <c r="T88" i="1"/>
  <c r="U88" i="1"/>
  <c r="Z88" i="1"/>
  <c r="AA88" i="1"/>
  <c r="B89" i="1"/>
  <c r="E89" i="1"/>
  <c r="K89" i="1"/>
  <c r="L89" i="1"/>
  <c r="M89" i="1"/>
  <c r="N89" i="1"/>
  <c r="T89" i="1"/>
  <c r="U89" i="1"/>
  <c r="Z89" i="1"/>
  <c r="AA89" i="1"/>
  <c r="B90" i="1"/>
  <c r="E90" i="1"/>
  <c r="K90" i="1"/>
  <c r="L90" i="1"/>
  <c r="M90" i="1"/>
  <c r="N90" i="1"/>
  <c r="T90" i="1"/>
  <c r="U90" i="1"/>
  <c r="Z90" i="1"/>
  <c r="AA90" i="1"/>
  <c r="B91" i="1"/>
  <c r="E91" i="1"/>
  <c r="K91" i="1"/>
  <c r="L91" i="1"/>
  <c r="M91" i="1"/>
  <c r="N91" i="1"/>
  <c r="T91" i="1"/>
  <c r="U91" i="1"/>
  <c r="Z91" i="1"/>
  <c r="AA91" i="1"/>
  <c r="B92" i="1"/>
  <c r="E92" i="1"/>
  <c r="K92" i="1"/>
  <c r="L92" i="1"/>
  <c r="M92" i="1"/>
  <c r="N92" i="1"/>
  <c r="T92" i="1"/>
  <c r="U92" i="1"/>
  <c r="Z92" i="1"/>
  <c r="AA92" i="1"/>
  <c r="B93" i="1"/>
  <c r="E93" i="1"/>
  <c r="K93" i="1"/>
  <c r="L93" i="1"/>
  <c r="M93" i="1"/>
  <c r="N93" i="1"/>
  <c r="T93" i="1"/>
  <c r="U93" i="1"/>
  <c r="Z93" i="1"/>
  <c r="AA93" i="1"/>
  <c r="B94" i="1"/>
  <c r="E94" i="1"/>
  <c r="K94" i="1"/>
  <c r="L94" i="1"/>
  <c r="M94" i="1"/>
  <c r="N94" i="1"/>
  <c r="T94" i="1"/>
  <c r="U94" i="1"/>
  <c r="Z94" i="1"/>
  <c r="AA94" i="1"/>
  <c r="B95" i="1"/>
  <c r="E95" i="1"/>
  <c r="K95" i="1"/>
  <c r="L95" i="1"/>
  <c r="M95" i="1"/>
  <c r="N95" i="1"/>
  <c r="T95" i="1"/>
  <c r="U95" i="1"/>
  <c r="Z95" i="1"/>
  <c r="AA95" i="1"/>
  <c r="B96" i="1"/>
  <c r="E96" i="1"/>
  <c r="K96" i="1"/>
  <c r="L96" i="1"/>
  <c r="M96" i="1"/>
  <c r="N96" i="1"/>
  <c r="T96" i="1"/>
  <c r="U96" i="1"/>
  <c r="Z96" i="1"/>
  <c r="AA96" i="1"/>
  <c r="B97" i="1"/>
  <c r="E97" i="1"/>
  <c r="K97" i="1"/>
  <c r="L97" i="1"/>
  <c r="M97" i="1"/>
  <c r="N97" i="1"/>
  <c r="T97" i="1"/>
  <c r="U97" i="1"/>
  <c r="Z97" i="1"/>
  <c r="AA97" i="1"/>
  <c r="B98" i="1"/>
  <c r="E98" i="1"/>
  <c r="K98" i="1"/>
  <c r="L98" i="1"/>
  <c r="M98" i="1"/>
  <c r="N98" i="1"/>
  <c r="T98" i="1"/>
  <c r="U98" i="1"/>
  <c r="Z98" i="1"/>
  <c r="AA98" i="1"/>
  <c r="B99" i="1"/>
  <c r="E99" i="1"/>
  <c r="K99" i="1"/>
  <c r="L99" i="1"/>
  <c r="M99" i="1"/>
  <c r="N99" i="1"/>
  <c r="T99" i="1"/>
  <c r="U99" i="1"/>
  <c r="Z99" i="1"/>
  <c r="AA99" i="1"/>
  <c r="B100" i="1"/>
  <c r="E100" i="1"/>
  <c r="K100" i="1"/>
  <c r="L100" i="1"/>
  <c r="M100" i="1"/>
  <c r="N100" i="1"/>
  <c r="T100" i="1"/>
  <c r="U100" i="1"/>
  <c r="Z100" i="1"/>
  <c r="AA100" i="1"/>
  <c r="B101" i="1"/>
  <c r="E101" i="1"/>
  <c r="K101" i="1"/>
  <c r="L101" i="1"/>
  <c r="M101" i="1"/>
  <c r="N101" i="1"/>
  <c r="T101" i="1"/>
  <c r="U101" i="1"/>
  <c r="Z101" i="1"/>
  <c r="AA101" i="1"/>
  <c r="B102" i="1"/>
  <c r="E102" i="1"/>
  <c r="K102" i="1"/>
  <c r="L102" i="1"/>
  <c r="M102" i="1"/>
  <c r="N102" i="1"/>
  <c r="T102" i="1"/>
  <c r="U102" i="1"/>
  <c r="Z102" i="1"/>
  <c r="AA102" i="1"/>
  <c r="B103" i="1"/>
  <c r="E103" i="1"/>
  <c r="K103" i="1"/>
  <c r="L103" i="1"/>
  <c r="M103" i="1"/>
  <c r="N103" i="1"/>
  <c r="T103" i="1"/>
  <c r="U103" i="1"/>
  <c r="Z103" i="1"/>
  <c r="AA103" i="1"/>
  <c r="B104" i="1"/>
  <c r="E104" i="1"/>
  <c r="K104" i="1"/>
  <c r="L104" i="1"/>
  <c r="M104" i="1"/>
  <c r="N104" i="1"/>
  <c r="T104" i="1"/>
  <c r="U104" i="1"/>
  <c r="Z104" i="1"/>
  <c r="AA104" i="1"/>
  <c r="B105" i="1"/>
  <c r="E105" i="1"/>
  <c r="K105" i="1"/>
  <c r="L105" i="1"/>
  <c r="M105" i="1"/>
  <c r="N105" i="1"/>
  <c r="T105" i="1"/>
  <c r="U105" i="1"/>
  <c r="Z105" i="1"/>
  <c r="AA105" i="1"/>
  <c r="B106" i="1"/>
  <c r="E106" i="1"/>
  <c r="K106" i="1"/>
  <c r="L106" i="1"/>
  <c r="M106" i="1"/>
  <c r="N106" i="1"/>
  <c r="T106" i="1"/>
  <c r="U106" i="1"/>
  <c r="Z106" i="1"/>
  <c r="AA106" i="1"/>
  <c r="B107" i="1"/>
  <c r="E107" i="1"/>
  <c r="K107" i="1"/>
  <c r="L107" i="1"/>
  <c r="M107" i="1"/>
  <c r="N107" i="1"/>
  <c r="T107" i="1"/>
  <c r="U107" i="1"/>
  <c r="Z107" i="1"/>
  <c r="AA107" i="1"/>
  <c r="B108" i="1"/>
  <c r="E108" i="1"/>
  <c r="K108" i="1"/>
  <c r="L108" i="1"/>
  <c r="M108" i="1"/>
  <c r="N108" i="1"/>
  <c r="T108" i="1"/>
  <c r="U108" i="1"/>
  <c r="Z108" i="1"/>
  <c r="AA108" i="1"/>
  <c r="B109" i="1"/>
  <c r="E109" i="1"/>
  <c r="K109" i="1"/>
  <c r="L109" i="1"/>
  <c r="M109" i="1"/>
  <c r="N109" i="1"/>
  <c r="T109" i="1"/>
  <c r="U109" i="1"/>
  <c r="Z109" i="1"/>
  <c r="AA109" i="1"/>
  <c r="B110" i="1"/>
  <c r="E110" i="1"/>
  <c r="K110" i="1"/>
  <c r="L110" i="1"/>
  <c r="M110" i="1"/>
  <c r="N110" i="1"/>
  <c r="T110" i="1"/>
  <c r="U110" i="1"/>
  <c r="Z110" i="1"/>
  <c r="AA110" i="1"/>
  <c r="B111" i="1"/>
  <c r="E111" i="1"/>
  <c r="K111" i="1"/>
  <c r="L111" i="1"/>
  <c r="M111" i="1"/>
  <c r="N111" i="1"/>
  <c r="T111" i="1"/>
  <c r="U111" i="1"/>
  <c r="Z111" i="1"/>
  <c r="AA111" i="1"/>
  <c r="B112" i="1"/>
  <c r="E112" i="1"/>
  <c r="K112" i="1"/>
  <c r="L112" i="1"/>
  <c r="M112" i="1"/>
  <c r="N112" i="1"/>
  <c r="T112" i="1"/>
  <c r="U112" i="1"/>
  <c r="Z112" i="1"/>
  <c r="AA112" i="1"/>
  <c r="B113" i="1"/>
  <c r="E113" i="1"/>
  <c r="K113" i="1"/>
  <c r="L113" i="1"/>
  <c r="M113" i="1"/>
  <c r="N113" i="1"/>
  <c r="T113" i="1"/>
  <c r="U113" i="1"/>
  <c r="Z113" i="1"/>
  <c r="AA113" i="1"/>
  <c r="B114" i="1"/>
  <c r="E114" i="1"/>
  <c r="K114" i="1"/>
  <c r="L114" i="1"/>
  <c r="M114" i="1"/>
  <c r="N114" i="1"/>
  <c r="T114" i="1"/>
  <c r="U114" i="1"/>
  <c r="Z114" i="1"/>
  <c r="AA114" i="1"/>
  <c r="B115" i="1"/>
  <c r="E115" i="1"/>
  <c r="K115" i="1"/>
  <c r="L115" i="1"/>
  <c r="M115" i="1"/>
  <c r="N115" i="1"/>
  <c r="T115" i="1"/>
  <c r="U115" i="1"/>
  <c r="Z115" i="1"/>
  <c r="AA115" i="1"/>
  <c r="B116" i="1"/>
  <c r="E116" i="1"/>
  <c r="K116" i="1"/>
  <c r="L116" i="1"/>
  <c r="M116" i="1"/>
  <c r="N116" i="1"/>
  <c r="T116" i="1"/>
  <c r="U116" i="1"/>
  <c r="Z116" i="1"/>
  <c r="AA116" i="1"/>
  <c r="B117" i="1"/>
  <c r="E117" i="1"/>
  <c r="K117" i="1"/>
  <c r="L117" i="1"/>
  <c r="M117" i="1"/>
  <c r="N117" i="1"/>
  <c r="T117" i="1"/>
  <c r="U117" i="1"/>
  <c r="Z117" i="1"/>
  <c r="AA117" i="1"/>
  <c r="B118" i="1"/>
  <c r="E118" i="1"/>
  <c r="K118" i="1"/>
  <c r="L118" i="1"/>
  <c r="M118" i="1"/>
  <c r="N118" i="1"/>
  <c r="T118" i="1"/>
  <c r="U118" i="1"/>
  <c r="Z118" i="1"/>
  <c r="AA118" i="1"/>
  <c r="B119" i="1"/>
  <c r="E119" i="1"/>
  <c r="K119" i="1"/>
  <c r="L119" i="1"/>
  <c r="M119" i="1"/>
  <c r="N119" i="1"/>
  <c r="T119" i="1"/>
  <c r="U119" i="1"/>
  <c r="Z119" i="1"/>
  <c r="AA119" i="1"/>
  <c r="B120" i="1"/>
  <c r="E120" i="1"/>
  <c r="K120" i="1"/>
  <c r="L120" i="1"/>
  <c r="M120" i="1"/>
  <c r="N120" i="1"/>
  <c r="T120" i="1"/>
  <c r="U120" i="1"/>
  <c r="Z120" i="1"/>
  <c r="AA120" i="1"/>
  <c r="B121" i="1"/>
  <c r="E121" i="1"/>
  <c r="K121" i="1"/>
  <c r="L121" i="1"/>
  <c r="M121" i="1"/>
  <c r="N121" i="1"/>
  <c r="T121" i="1"/>
  <c r="U121" i="1"/>
  <c r="Z121" i="1"/>
  <c r="AA121" i="1"/>
  <c r="B122" i="1"/>
  <c r="E122" i="1"/>
  <c r="K122" i="1"/>
  <c r="L122" i="1"/>
  <c r="M122" i="1"/>
  <c r="N122" i="1"/>
  <c r="T122" i="1"/>
  <c r="U122" i="1"/>
  <c r="Z122" i="1"/>
  <c r="AA122" i="1"/>
  <c r="B123" i="1"/>
  <c r="E123" i="1"/>
  <c r="K123" i="1"/>
  <c r="L123" i="1"/>
  <c r="M123" i="1"/>
  <c r="N123" i="1"/>
  <c r="T123" i="1"/>
  <c r="U123" i="1"/>
  <c r="Z123" i="1"/>
  <c r="AA123" i="1"/>
  <c r="B124" i="1"/>
  <c r="E124" i="1"/>
  <c r="K124" i="1"/>
  <c r="L124" i="1"/>
  <c r="M124" i="1"/>
  <c r="N124" i="1"/>
  <c r="T124" i="1"/>
  <c r="U124" i="1"/>
  <c r="Z124" i="1"/>
  <c r="AA124" i="1"/>
  <c r="B125" i="1"/>
  <c r="E125" i="1"/>
  <c r="K125" i="1"/>
  <c r="L125" i="1"/>
  <c r="M125" i="1"/>
  <c r="N125" i="1"/>
  <c r="T125" i="1"/>
  <c r="U125" i="1"/>
  <c r="Z125" i="1"/>
  <c r="AA125" i="1"/>
  <c r="B126" i="1"/>
  <c r="E126" i="1"/>
  <c r="K126" i="1"/>
  <c r="L126" i="1"/>
  <c r="M126" i="1"/>
  <c r="N126" i="1"/>
  <c r="T126" i="1"/>
  <c r="U126" i="1"/>
  <c r="Z126" i="1"/>
  <c r="AA126" i="1"/>
  <c r="B127" i="1"/>
  <c r="E127" i="1"/>
  <c r="K127" i="1"/>
  <c r="L127" i="1"/>
  <c r="M127" i="1"/>
  <c r="N127" i="1"/>
  <c r="T127" i="1"/>
  <c r="U127" i="1"/>
  <c r="Z127" i="1"/>
  <c r="AA127" i="1"/>
  <c r="B128" i="1"/>
  <c r="E128" i="1"/>
  <c r="K128" i="1"/>
  <c r="L128" i="1"/>
  <c r="M128" i="1"/>
  <c r="N128" i="1"/>
  <c r="T128" i="1"/>
  <c r="U128" i="1"/>
  <c r="Z128" i="1"/>
  <c r="AA128" i="1"/>
  <c r="B129" i="1"/>
  <c r="E129" i="1"/>
  <c r="K129" i="1"/>
  <c r="L129" i="1"/>
  <c r="M129" i="1"/>
  <c r="N129" i="1"/>
  <c r="T129" i="1"/>
  <c r="U129" i="1"/>
  <c r="Z129" i="1"/>
  <c r="AA129" i="1"/>
  <c r="B130" i="1"/>
  <c r="E130" i="1"/>
  <c r="K130" i="1"/>
  <c r="L130" i="1"/>
  <c r="M130" i="1"/>
  <c r="N130" i="1"/>
  <c r="T130" i="1"/>
  <c r="U130" i="1"/>
  <c r="Z130" i="1"/>
  <c r="AA130" i="1"/>
  <c r="B131" i="1"/>
  <c r="E131" i="1"/>
  <c r="K131" i="1"/>
  <c r="L131" i="1"/>
  <c r="M131" i="1"/>
  <c r="N131" i="1"/>
  <c r="T131" i="1"/>
  <c r="U131" i="1"/>
  <c r="Z131" i="1"/>
  <c r="AA131" i="1"/>
  <c r="B132" i="1"/>
  <c r="E132" i="1"/>
  <c r="K132" i="1"/>
  <c r="L132" i="1"/>
  <c r="M132" i="1"/>
  <c r="N132" i="1"/>
  <c r="T132" i="1"/>
  <c r="U132" i="1"/>
  <c r="Z132" i="1"/>
  <c r="AA132" i="1"/>
  <c r="B133" i="1"/>
  <c r="E133" i="1"/>
  <c r="K133" i="1"/>
  <c r="L133" i="1"/>
  <c r="M133" i="1"/>
  <c r="N133" i="1"/>
  <c r="T133" i="1"/>
  <c r="U133" i="1"/>
  <c r="Z133" i="1"/>
  <c r="AA133" i="1"/>
  <c r="B134" i="1"/>
  <c r="E134" i="1"/>
  <c r="K134" i="1"/>
  <c r="L134" i="1"/>
  <c r="M134" i="1"/>
  <c r="N134" i="1"/>
  <c r="T134" i="1"/>
  <c r="U134" i="1"/>
  <c r="Z134" i="1"/>
  <c r="AA134" i="1"/>
  <c r="B135" i="1"/>
  <c r="E135" i="1"/>
  <c r="K135" i="1"/>
  <c r="L135" i="1"/>
  <c r="M135" i="1"/>
  <c r="N135" i="1"/>
  <c r="T135" i="1"/>
  <c r="U135" i="1"/>
  <c r="Z135" i="1"/>
  <c r="AA135" i="1"/>
  <c r="B136" i="1"/>
  <c r="E136" i="1"/>
  <c r="K136" i="1"/>
  <c r="L136" i="1"/>
  <c r="M136" i="1"/>
  <c r="N136" i="1"/>
  <c r="T136" i="1"/>
  <c r="U136" i="1"/>
  <c r="Z136" i="1"/>
  <c r="AA136" i="1"/>
  <c r="B137" i="1"/>
  <c r="E137" i="1"/>
  <c r="K137" i="1"/>
  <c r="L137" i="1"/>
  <c r="M137" i="1"/>
  <c r="N137" i="1"/>
  <c r="T137" i="1"/>
  <c r="U137" i="1"/>
  <c r="Z137" i="1"/>
  <c r="AA137" i="1"/>
  <c r="B138" i="1"/>
  <c r="E138" i="1"/>
  <c r="K138" i="1"/>
  <c r="L138" i="1"/>
  <c r="M138" i="1"/>
  <c r="N138" i="1"/>
  <c r="T138" i="1"/>
  <c r="U138" i="1"/>
  <c r="Z138" i="1"/>
  <c r="AA138" i="1"/>
  <c r="B139" i="1"/>
  <c r="E139" i="1"/>
  <c r="K139" i="1"/>
  <c r="L139" i="1"/>
  <c r="M139" i="1"/>
  <c r="N139" i="1"/>
  <c r="T139" i="1"/>
  <c r="U139" i="1"/>
  <c r="Z139" i="1"/>
  <c r="AA139" i="1"/>
  <c r="B140" i="1"/>
  <c r="E140" i="1"/>
  <c r="K140" i="1"/>
  <c r="L140" i="1"/>
  <c r="M140" i="1"/>
  <c r="N140" i="1"/>
  <c r="T140" i="1"/>
  <c r="U140" i="1"/>
  <c r="Z140" i="1"/>
  <c r="AA140" i="1"/>
  <c r="B141" i="1"/>
  <c r="E141" i="1"/>
  <c r="K141" i="1"/>
  <c r="L141" i="1"/>
  <c r="M141" i="1"/>
  <c r="N141" i="1"/>
  <c r="T141" i="1"/>
  <c r="U141" i="1"/>
  <c r="Z141" i="1"/>
  <c r="AA141" i="1"/>
  <c r="B142" i="1"/>
  <c r="E142" i="1"/>
  <c r="K142" i="1"/>
  <c r="L142" i="1"/>
  <c r="M142" i="1"/>
  <c r="N142" i="1"/>
  <c r="T142" i="1"/>
  <c r="U142" i="1"/>
  <c r="Z142" i="1"/>
  <c r="AA142" i="1"/>
  <c r="B143" i="1"/>
  <c r="E143" i="1"/>
  <c r="K143" i="1"/>
  <c r="L143" i="1"/>
  <c r="M143" i="1"/>
  <c r="N143" i="1"/>
  <c r="T143" i="1"/>
  <c r="U143" i="1"/>
  <c r="Z143" i="1"/>
  <c r="AA143" i="1"/>
  <c r="B144" i="1"/>
  <c r="E144" i="1"/>
  <c r="K144" i="1"/>
  <c r="L144" i="1"/>
  <c r="M144" i="1"/>
  <c r="N144" i="1"/>
  <c r="T144" i="1"/>
  <c r="U144" i="1"/>
  <c r="Z144" i="1"/>
  <c r="AA144" i="1"/>
  <c r="B145" i="1"/>
  <c r="E145" i="1"/>
  <c r="K145" i="1"/>
  <c r="L145" i="1"/>
  <c r="M145" i="1"/>
  <c r="N145" i="1"/>
  <c r="T145" i="1"/>
  <c r="U145" i="1"/>
  <c r="Z145" i="1"/>
  <c r="AA145" i="1"/>
  <c r="B146" i="1"/>
  <c r="E146" i="1"/>
  <c r="K146" i="1"/>
  <c r="L146" i="1"/>
  <c r="M146" i="1"/>
  <c r="N146" i="1"/>
  <c r="T146" i="1"/>
  <c r="U146" i="1"/>
  <c r="Z146" i="1"/>
  <c r="AA146" i="1"/>
  <c r="B147" i="1"/>
  <c r="E147" i="1"/>
  <c r="K147" i="1"/>
  <c r="L147" i="1"/>
  <c r="M147" i="1"/>
  <c r="N147" i="1"/>
  <c r="T147" i="1"/>
  <c r="U147" i="1"/>
  <c r="Z147" i="1"/>
  <c r="AA147" i="1"/>
  <c r="B148" i="1"/>
  <c r="E148" i="1"/>
  <c r="K148" i="1"/>
  <c r="L148" i="1"/>
  <c r="M148" i="1"/>
  <c r="N148" i="1"/>
  <c r="T148" i="1"/>
  <c r="U148" i="1"/>
  <c r="Z148" i="1"/>
  <c r="AA148" i="1"/>
  <c r="B149" i="1"/>
  <c r="E149" i="1"/>
  <c r="K149" i="1"/>
  <c r="L149" i="1"/>
  <c r="M149" i="1"/>
  <c r="N149" i="1"/>
  <c r="T149" i="1"/>
  <c r="U149" i="1"/>
  <c r="Z149" i="1"/>
  <c r="AA149" i="1"/>
  <c r="B150" i="1"/>
  <c r="E150" i="1"/>
  <c r="K150" i="1"/>
  <c r="L150" i="1"/>
  <c r="M150" i="1"/>
  <c r="N150" i="1"/>
  <c r="T150" i="1"/>
  <c r="U150" i="1"/>
  <c r="Z150" i="1"/>
  <c r="AA150" i="1"/>
  <c r="B151" i="1"/>
  <c r="E151" i="1"/>
  <c r="K151" i="1"/>
  <c r="L151" i="1"/>
  <c r="M151" i="1"/>
  <c r="N151" i="1"/>
  <c r="T151" i="1"/>
  <c r="U151" i="1"/>
  <c r="Z151" i="1"/>
  <c r="AA151" i="1"/>
  <c r="B152" i="1"/>
  <c r="E152" i="1"/>
  <c r="K152" i="1"/>
  <c r="L152" i="1"/>
  <c r="M152" i="1"/>
  <c r="N152" i="1"/>
  <c r="T152" i="1"/>
  <c r="U152" i="1"/>
  <c r="Z152" i="1"/>
  <c r="AA152" i="1"/>
  <c r="B153" i="1"/>
  <c r="E153" i="1"/>
  <c r="K153" i="1"/>
  <c r="L153" i="1"/>
  <c r="M153" i="1"/>
  <c r="N153" i="1"/>
  <c r="T153" i="1"/>
  <c r="U153" i="1"/>
  <c r="Z153" i="1"/>
  <c r="AA153" i="1"/>
  <c r="B154" i="1"/>
  <c r="E154" i="1"/>
  <c r="K154" i="1"/>
  <c r="L154" i="1"/>
  <c r="M154" i="1"/>
  <c r="N154" i="1"/>
  <c r="T154" i="1"/>
  <c r="U154" i="1"/>
  <c r="Z154" i="1"/>
  <c r="AA154" i="1"/>
  <c r="B155" i="1"/>
  <c r="E155" i="1"/>
  <c r="K155" i="1"/>
  <c r="L155" i="1"/>
  <c r="M155" i="1"/>
  <c r="N155" i="1"/>
  <c r="T155" i="1"/>
  <c r="U155" i="1"/>
  <c r="Z155" i="1"/>
  <c r="AA155" i="1"/>
  <c r="B156" i="1"/>
  <c r="E156" i="1"/>
  <c r="K156" i="1"/>
  <c r="L156" i="1"/>
  <c r="M156" i="1"/>
  <c r="N156" i="1"/>
  <c r="T156" i="1"/>
  <c r="U156" i="1"/>
  <c r="Z156" i="1"/>
  <c r="AA156" i="1"/>
  <c r="B157" i="1"/>
  <c r="E157" i="1"/>
  <c r="K157" i="1"/>
  <c r="L157" i="1"/>
  <c r="M157" i="1"/>
  <c r="N157" i="1"/>
  <c r="T157" i="1"/>
  <c r="U157" i="1"/>
  <c r="Z157" i="1"/>
  <c r="AA157" i="1"/>
  <c r="B158" i="1"/>
  <c r="E158" i="1"/>
  <c r="K158" i="1"/>
  <c r="L158" i="1"/>
  <c r="M158" i="1"/>
  <c r="N158" i="1"/>
  <c r="T158" i="1"/>
  <c r="U158" i="1"/>
  <c r="Z158" i="1"/>
  <c r="AA158" i="1"/>
  <c r="B159" i="1"/>
  <c r="E159" i="1"/>
  <c r="K159" i="1"/>
  <c r="L159" i="1"/>
  <c r="M159" i="1"/>
  <c r="N159" i="1"/>
  <c r="T159" i="1"/>
  <c r="U159" i="1"/>
  <c r="Z159" i="1"/>
  <c r="AA159" i="1"/>
  <c r="B160" i="1"/>
  <c r="E160" i="1"/>
  <c r="K160" i="1"/>
  <c r="L160" i="1"/>
  <c r="M160" i="1"/>
  <c r="N160" i="1"/>
  <c r="T160" i="1"/>
  <c r="U160" i="1"/>
  <c r="Z160" i="1"/>
  <c r="AA160" i="1"/>
  <c r="B161" i="1"/>
  <c r="E161" i="1"/>
  <c r="K161" i="1"/>
  <c r="L161" i="1"/>
  <c r="M161" i="1"/>
  <c r="N161" i="1"/>
  <c r="T161" i="1"/>
  <c r="U161" i="1"/>
  <c r="Z161" i="1"/>
  <c r="AA161" i="1"/>
  <c r="B162" i="1"/>
  <c r="E162" i="1"/>
  <c r="K162" i="1"/>
  <c r="L162" i="1"/>
  <c r="M162" i="1"/>
  <c r="N162" i="1"/>
  <c r="T162" i="1"/>
  <c r="U162" i="1"/>
  <c r="Z162" i="1"/>
  <c r="AA162" i="1"/>
  <c r="B163" i="1"/>
  <c r="E163" i="1"/>
  <c r="K163" i="1"/>
  <c r="L163" i="1"/>
  <c r="M163" i="1"/>
  <c r="N163" i="1"/>
  <c r="T163" i="1"/>
  <c r="U163" i="1"/>
  <c r="Z163" i="1"/>
  <c r="AA163" i="1"/>
  <c r="B164" i="1"/>
  <c r="E164" i="1"/>
  <c r="K164" i="1"/>
  <c r="L164" i="1"/>
  <c r="M164" i="1"/>
  <c r="N164" i="1"/>
  <c r="T164" i="1"/>
  <c r="U164" i="1"/>
  <c r="Z164" i="1"/>
  <c r="AA164" i="1"/>
  <c r="B165" i="1"/>
  <c r="E165" i="1"/>
  <c r="K165" i="1"/>
  <c r="L165" i="1"/>
  <c r="M165" i="1"/>
  <c r="N165" i="1"/>
  <c r="T165" i="1"/>
  <c r="U165" i="1"/>
  <c r="Z165" i="1"/>
  <c r="AA165" i="1"/>
  <c r="B166" i="1"/>
  <c r="E166" i="1"/>
  <c r="K166" i="1"/>
  <c r="L166" i="1"/>
  <c r="M166" i="1"/>
  <c r="N166" i="1"/>
  <c r="T166" i="1"/>
  <c r="U166" i="1"/>
  <c r="Z166" i="1"/>
  <c r="AA166" i="1"/>
  <c r="B167" i="1"/>
  <c r="E167" i="1"/>
  <c r="K167" i="1"/>
  <c r="L167" i="1"/>
  <c r="M167" i="1"/>
  <c r="N167" i="1"/>
  <c r="T167" i="1"/>
  <c r="U167" i="1"/>
  <c r="Z167" i="1"/>
  <c r="AA167" i="1"/>
  <c r="B168" i="1"/>
  <c r="E168" i="1"/>
  <c r="K168" i="1"/>
  <c r="L168" i="1"/>
  <c r="M168" i="1"/>
  <c r="N168" i="1"/>
  <c r="T168" i="1"/>
  <c r="U168" i="1"/>
  <c r="Z168" i="1"/>
  <c r="AA168" i="1"/>
  <c r="B169" i="1"/>
  <c r="E169" i="1"/>
  <c r="K169" i="1"/>
  <c r="L169" i="1"/>
  <c r="M169" i="1"/>
  <c r="N169" i="1"/>
  <c r="T169" i="1"/>
  <c r="U169" i="1"/>
  <c r="Z169" i="1"/>
  <c r="AA169" i="1"/>
  <c r="B170" i="1"/>
  <c r="E170" i="1"/>
  <c r="K170" i="1"/>
  <c r="L170" i="1"/>
  <c r="M170" i="1"/>
  <c r="N170" i="1"/>
  <c r="T170" i="1"/>
  <c r="U170" i="1"/>
  <c r="Z170" i="1"/>
  <c r="AA170" i="1"/>
  <c r="B171" i="1"/>
  <c r="E171" i="1"/>
  <c r="K171" i="1"/>
  <c r="L171" i="1"/>
  <c r="M171" i="1"/>
  <c r="N171" i="1"/>
  <c r="T171" i="1"/>
  <c r="U171" i="1"/>
  <c r="Z171" i="1"/>
  <c r="AA171" i="1"/>
  <c r="B172" i="1"/>
  <c r="E172" i="1"/>
  <c r="K172" i="1"/>
  <c r="L172" i="1"/>
  <c r="M172" i="1"/>
  <c r="N172" i="1"/>
  <c r="T172" i="1"/>
  <c r="U172" i="1"/>
  <c r="Z172" i="1"/>
  <c r="AA172" i="1"/>
  <c r="B173" i="1"/>
  <c r="E173" i="1"/>
  <c r="K173" i="1"/>
  <c r="L173" i="1"/>
  <c r="M173" i="1"/>
  <c r="N173" i="1"/>
  <c r="T173" i="1"/>
  <c r="U173" i="1"/>
  <c r="Z173" i="1"/>
  <c r="AA173" i="1"/>
  <c r="B174" i="1"/>
  <c r="E174" i="1"/>
  <c r="K174" i="1"/>
  <c r="L174" i="1"/>
  <c r="M174" i="1"/>
  <c r="N174" i="1"/>
  <c r="T174" i="1"/>
  <c r="U174" i="1"/>
  <c r="Z174" i="1"/>
  <c r="AA174" i="1"/>
  <c r="B175" i="1"/>
  <c r="E175" i="1"/>
  <c r="K175" i="1"/>
  <c r="L175" i="1"/>
  <c r="M175" i="1"/>
  <c r="N175" i="1"/>
  <c r="T175" i="1"/>
  <c r="U175" i="1"/>
  <c r="Z175" i="1"/>
  <c r="AA175" i="1"/>
  <c r="B176" i="1"/>
  <c r="E176" i="1"/>
  <c r="K176" i="1"/>
  <c r="L176" i="1"/>
  <c r="M176" i="1"/>
  <c r="N176" i="1"/>
  <c r="T176" i="1"/>
  <c r="U176" i="1"/>
  <c r="Z176" i="1"/>
  <c r="AA176" i="1"/>
  <c r="B177" i="1"/>
  <c r="E177" i="1"/>
  <c r="K177" i="1"/>
  <c r="L177" i="1"/>
  <c r="M177" i="1"/>
  <c r="N177" i="1"/>
  <c r="T177" i="1"/>
  <c r="U177" i="1"/>
  <c r="Z177" i="1"/>
  <c r="AA177" i="1"/>
  <c r="B178" i="1"/>
  <c r="E178" i="1"/>
  <c r="K178" i="1"/>
  <c r="L178" i="1"/>
  <c r="M178" i="1"/>
  <c r="N178" i="1"/>
  <c r="T178" i="1"/>
  <c r="U178" i="1"/>
  <c r="Z178" i="1"/>
  <c r="AA178" i="1"/>
  <c r="B179" i="1"/>
  <c r="E179" i="1"/>
  <c r="K179" i="1"/>
  <c r="L179" i="1"/>
  <c r="M179" i="1"/>
  <c r="N179" i="1"/>
  <c r="T179" i="1"/>
  <c r="U179" i="1"/>
  <c r="Z179" i="1"/>
  <c r="AA179" i="1"/>
  <c r="B180" i="1"/>
  <c r="E180" i="1"/>
  <c r="K180" i="1"/>
  <c r="L180" i="1"/>
  <c r="M180" i="1"/>
  <c r="N180" i="1"/>
  <c r="T180" i="1"/>
  <c r="U180" i="1"/>
  <c r="Z180" i="1"/>
  <c r="AA180" i="1"/>
  <c r="B181" i="1"/>
  <c r="E181" i="1"/>
  <c r="K181" i="1"/>
  <c r="L181" i="1"/>
  <c r="M181" i="1"/>
  <c r="N181" i="1"/>
  <c r="T181" i="1"/>
  <c r="U181" i="1"/>
  <c r="Z181" i="1"/>
  <c r="AA181" i="1"/>
  <c r="B182" i="1"/>
  <c r="E182" i="1"/>
  <c r="K182" i="1"/>
  <c r="L182" i="1"/>
  <c r="M182" i="1"/>
  <c r="N182" i="1"/>
  <c r="T182" i="1"/>
  <c r="U182" i="1"/>
  <c r="Z182" i="1"/>
  <c r="AA182" i="1"/>
  <c r="B183" i="1"/>
  <c r="E183" i="1"/>
  <c r="K183" i="1"/>
  <c r="L183" i="1"/>
  <c r="M183" i="1"/>
  <c r="N183" i="1"/>
  <c r="T183" i="1"/>
  <c r="U183" i="1"/>
  <c r="Z183" i="1"/>
  <c r="AA183" i="1"/>
  <c r="B184" i="1"/>
  <c r="E184" i="1"/>
  <c r="K184" i="1"/>
  <c r="L184" i="1"/>
  <c r="M184" i="1"/>
  <c r="N184" i="1"/>
  <c r="T184" i="1"/>
  <c r="U184" i="1"/>
  <c r="Z184" i="1"/>
  <c r="AA184" i="1"/>
  <c r="B185" i="1"/>
  <c r="E185" i="1"/>
  <c r="K185" i="1"/>
  <c r="L185" i="1"/>
  <c r="M185" i="1"/>
  <c r="N185" i="1"/>
  <c r="T185" i="1"/>
  <c r="U185" i="1"/>
  <c r="Z185" i="1"/>
  <c r="AA185" i="1"/>
  <c r="B186" i="1"/>
  <c r="E186" i="1"/>
  <c r="K186" i="1"/>
  <c r="L186" i="1"/>
  <c r="M186" i="1"/>
  <c r="N186" i="1"/>
  <c r="T186" i="1"/>
  <c r="U186" i="1"/>
  <c r="Z186" i="1"/>
  <c r="AA186" i="1"/>
  <c r="B187" i="1"/>
  <c r="E187" i="1"/>
  <c r="K187" i="1"/>
  <c r="L187" i="1"/>
  <c r="M187" i="1"/>
  <c r="N187" i="1"/>
  <c r="T187" i="1"/>
  <c r="U187" i="1"/>
  <c r="Z187" i="1"/>
  <c r="AA187" i="1"/>
  <c r="B188" i="1"/>
  <c r="E188" i="1"/>
  <c r="K188" i="1"/>
  <c r="L188" i="1"/>
  <c r="M188" i="1"/>
  <c r="N188" i="1"/>
  <c r="T188" i="1"/>
  <c r="U188" i="1"/>
  <c r="Z188" i="1"/>
  <c r="AA188" i="1"/>
  <c r="B189" i="1"/>
  <c r="E189" i="1"/>
  <c r="K189" i="1"/>
  <c r="L189" i="1"/>
  <c r="M189" i="1"/>
  <c r="N189" i="1"/>
  <c r="T189" i="1"/>
  <c r="U189" i="1"/>
  <c r="Z189" i="1"/>
  <c r="AA189" i="1"/>
  <c r="B190" i="1"/>
  <c r="E190" i="1"/>
  <c r="K190" i="1"/>
  <c r="L190" i="1"/>
  <c r="M190" i="1"/>
  <c r="N190" i="1"/>
  <c r="T190" i="1"/>
  <c r="U190" i="1"/>
  <c r="Z190" i="1"/>
  <c r="AA190" i="1"/>
  <c r="B191" i="1"/>
  <c r="E191" i="1"/>
  <c r="K191" i="1"/>
  <c r="L191" i="1"/>
  <c r="M191" i="1"/>
  <c r="N191" i="1"/>
  <c r="T191" i="1"/>
  <c r="U191" i="1"/>
  <c r="Z191" i="1"/>
  <c r="AA191" i="1"/>
  <c r="B192" i="1"/>
  <c r="E192" i="1"/>
  <c r="K192" i="1"/>
  <c r="L192" i="1"/>
  <c r="M192" i="1"/>
  <c r="N192" i="1"/>
  <c r="T192" i="1"/>
  <c r="U192" i="1"/>
  <c r="Z192" i="1"/>
  <c r="AA192" i="1"/>
  <c r="B193" i="1"/>
  <c r="E193" i="1"/>
  <c r="K193" i="1"/>
  <c r="L193" i="1"/>
  <c r="M193" i="1"/>
  <c r="N193" i="1"/>
  <c r="T193" i="1"/>
  <c r="U193" i="1"/>
  <c r="Z193" i="1"/>
  <c r="AA193" i="1"/>
  <c r="B194" i="1"/>
  <c r="E194" i="1"/>
  <c r="K194" i="1"/>
  <c r="L194" i="1"/>
  <c r="M194" i="1"/>
  <c r="N194" i="1"/>
  <c r="T194" i="1"/>
  <c r="U194" i="1"/>
  <c r="Z194" i="1"/>
  <c r="AA194" i="1"/>
  <c r="B195" i="1"/>
  <c r="E195" i="1"/>
  <c r="K195" i="1"/>
  <c r="L195" i="1"/>
  <c r="M195" i="1"/>
  <c r="N195" i="1"/>
  <c r="T195" i="1"/>
  <c r="U195" i="1"/>
  <c r="Z195" i="1"/>
  <c r="AA195" i="1"/>
  <c r="B196" i="1"/>
  <c r="E196" i="1"/>
  <c r="K196" i="1"/>
  <c r="L196" i="1"/>
  <c r="M196" i="1"/>
  <c r="N196" i="1"/>
  <c r="T196" i="1"/>
  <c r="U196" i="1"/>
  <c r="Z196" i="1"/>
  <c r="AA196" i="1"/>
  <c r="B197" i="1"/>
  <c r="E197" i="1"/>
  <c r="K197" i="1"/>
  <c r="L197" i="1"/>
  <c r="M197" i="1"/>
  <c r="N197" i="1"/>
  <c r="T197" i="1"/>
  <c r="U197" i="1"/>
  <c r="Z197" i="1"/>
  <c r="AA197" i="1"/>
  <c r="B198" i="1"/>
  <c r="E198" i="1"/>
  <c r="K198" i="1"/>
  <c r="L198" i="1"/>
  <c r="M198" i="1"/>
  <c r="N198" i="1"/>
  <c r="T198" i="1"/>
  <c r="U198" i="1"/>
  <c r="Z198" i="1"/>
  <c r="AA198" i="1"/>
  <c r="B199" i="1"/>
  <c r="E199" i="1"/>
  <c r="K199" i="1"/>
  <c r="L199" i="1"/>
  <c r="M199" i="1"/>
  <c r="N199" i="1"/>
  <c r="T199" i="1"/>
  <c r="U199" i="1"/>
  <c r="Z199" i="1"/>
  <c r="AA199" i="1"/>
  <c r="B200" i="1"/>
  <c r="E200" i="1"/>
  <c r="K200" i="1"/>
  <c r="L200" i="1"/>
  <c r="M200" i="1"/>
  <c r="N200" i="1"/>
  <c r="T200" i="1"/>
  <c r="U200" i="1"/>
  <c r="Z200" i="1"/>
  <c r="AA200" i="1"/>
  <c r="B201" i="1"/>
  <c r="E201" i="1"/>
  <c r="K201" i="1"/>
  <c r="L201" i="1"/>
  <c r="M201" i="1"/>
  <c r="N201" i="1"/>
  <c r="T201" i="1"/>
  <c r="U201" i="1"/>
  <c r="Z201" i="1"/>
  <c r="AA201" i="1"/>
  <c r="B202" i="1"/>
  <c r="E202" i="1"/>
  <c r="K202" i="1"/>
  <c r="L202" i="1"/>
  <c r="M202" i="1"/>
  <c r="N202" i="1"/>
  <c r="T202" i="1"/>
  <c r="U202" i="1"/>
  <c r="Z202" i="1"/>
  <c r="AA202" i="1"/>
  <c r="B203" i="1"/>
  <c r="E203" i="1"/>
  <c r="K203" i="1"/>
  <c r="L203" i="1"/>
  <c r="M203" i="1"/>
  <c r="N203" i="1"/>
  <c r="T203" i="1"/>
  <c r="U203" i="1"/>
  <c r="Z203" i="1"/>
  <c r="AA203" i="1"/>
  <c r="B204" i="1"/>
  <c r="E204" i="1"/>
  <c r="K204" i="1"/>
  <c r="L204" i="1"/>
  <c r="M204" i="1"/>
  <c r="N204" i="1"/>
  <c r="T204" i="1"/>
  <c r="U204" i="1"/>
  <c r="Z204" i="1"/>
  <c r="AA204" i="1"/>
  <c r="B205" i="1"/>
  <c r="E205" i="1"/>
  <c r="K205" i="1"/>
  <c r="L205" i="1"/>
  <c r="M205" i="1"/>
  <c r="N205" i="1"/>
  <c r="T205" i="1"/>
  <c r="U205" i="1"/>
  <c r="Z205" i="1"/>
  <c r="AA205" i="1"/>
  <c r="B206" i="1"/>
  <c r="E206" i="1"/>
  <c r="K206" i="1"/>
  <c r="L206" i="1"/>
  <c r="M206" i="1"/>
  <c r="N206" i="1"/>
  <c r="T206" i="1"/>
  <c r="U206" i="1"/>
  <c r="Z206" i="1"/>
  <c r="AA206" i="1"/>
  <c r="B207" i="1"/>
  <c r="E207" i="1"/>
  <c r="K207" i="1"/>
  <c r="L207" i="1"/>
  <c r="M207" i="1"/>
  <c r="N207" i="1"/>
  <c r="T207" i="1"/>
  <c r="U207" i="1"/>
  <c r="Z207" i="1"/>
  <c r="AA207" i="1"/>
  <c r="B208" i="1"/>
  <c r="E208" i="1"/>
  <c r="K208" i="1"/>
  <c r="L208" i="1"/>
  <c r="M208" i="1"/>
  <c r="N208" i="1"/>
  <c r="T208" i="1"/>
  <c r="U208" i="1"/>
  <c r="Z208" i="1"/>
  <c r="AA208" i="1"/>
  <c r="B209" i="1"/>
  <c r="E209" i="1"/>
  <c r="K209" i="1"/>
  <c r="L209" i="1"/>
  <c r="M209" i="1"/>
  <c r="N209" i="1"/>
  <c r="T209" i="1"/>
  <c r="U209" i="1"/>
  <c r="Z209" i="1"/>
  <c r="AA209" i="1"/>
  <c r="B210" i="1"/>
  <c r="E210" i="1"/>
  <c r="K210" i="1"/>
  <c r="L210" i="1"/>
  <c r="M210" i="1"/>
  <c r="N210" i="1"/>
  <c r="T210" i="1"/>
  <c r="U210" i="1"/>
  <c r="Z210" i="1"/>
  <c r="AA210" i="1"/>
  <c r="B211" i="1"/>
  <c r="E211" i="1"/>
  <c r="K211" i="1"/>
  <c r="L211" i="1"/>
  <c r="M211" i="1"/>
  <c r="N211" i="1"/>
  <c r="T211" i="1"/>
  <c r="U211" i="1"/>
  <c r="Z211" i="1"/>
  <c r="AA211" i="1"/>
  <c r="B212" i="1"/>
  <c r="E212" i="1"/>
  <c r="K212" i="1"/>
  <c r="L212" i="1"/>
  <c r="M212" i="1"/>
  <c r="N212" i="1"/>
  <c r="T212" i="1"/>
  <c r="U212" i="1"/>
  <c r="Z212" i="1"/>
  <c r="AA212" i="1"/>
  <c r="B213" i="1"/>
  <c r="E213" i="1"/>
  <c r="K213" i="1"/>
  <c r="L213" i="1"/>
  <c r="M213" i="1"/>
  <c r="N213" i="1"/>
  <c r="T213" i="1"/>
  <c r="U213" i="1"/>
  <c r="Z213" i="1"/>
  <c r="AA213" i="1"/>
  <c r="B214" i="1"/>
  <c r="E214" i="1"/>
  <c r="K214" i="1"/>
  <c r="L214" i="1"/>
  <c r="M214" i="1"/>
  <c r="N214" i="1"/>
  <c r="T214" i="1"/>
  <c r="U214" i="1"/>
  <c r="Z214" i="1"/>
  <c r="AA214" i="1"/>
  <c r="B215" i="1"/>
  <c r="E215" i="1"/>
  <c r="K215" i="1"/>
  <c r="L215" i="1"/>
  <c r="M215" i="1"/>
  <c r="N215" i="1"/>
  <c r="T215" i="1"/>
  <c r="U215" i="1"/>
  <c r="Z215" i="1"/>
  <c r="AA215" i="1"/>
  <c r="B216" i="1"/>
  <c r="E216" i="1"/>
  <c r="K216" i="1"/>
  <c r="L216" i="1"/>
  <c r="M216" i="1"/>
  <c r="N216" i="1"/>
  <c r="T216" i="1"/>
  <c r="U216" i="1"/>
  <c r="Z216" i="1"/>
  <c r="AA216" i="1"/>
  <c r="B217" i="1"/>
  <c r="E217" i="1"/>
  <c r="K217" i="1"/>
  <c r="L217" i="1"/>
  <c r="M217" i="1"/>
  <c r="N217" i="1"/>
  <c r="T217" i="1"/>
  <c r="U217" i="1"/>
  <c r="Z217" i="1"/>
  <c r="AA217" i="1"/>
  <c r="B218" i="1"/>
  <c r="E218" i="1"/>
  <c r="K218" i="1"/>
  <c r="L218" i="1"/>
  <c r="M218" i="1"/>
  <c r="N218" i="1"/>
  <c r="T218" i="1"/>
  <c r="U218" i="1"/>
  <c r="Z218" i="1"/>
  <c r="AA218" i="1"/>
  <c r="B219" i="1"/>
  <c r="E219" i="1"/>
  <c r="K219" i="1"/>
  <c r="L219" i="1"/>
  <c r="M219" i="1"/>
  <c r="N219" i="1"/>
  <c r="T219" i="1"/>
  <c r="U219" i="1"/>
  <c r="Z219" i="1"/>
  <c r="AA219" i="1"/>
  <c r="B220" i="1"/>
  <c r="E220" i="1"/>
  <c r="K220" i="1"/>
  <c r="L220" i="1"/>
  <c r="M220" i="1"/>
  <c r="N220" i="1"/>
  <c r="T220" i="1"/>
  <c r="U220" i="1"/>
  <c r="Z220" i="1"/>
  <c r="AA220" i="1"/>
  <c r="B221" i="1"/>
  <c r="E221" i="1"/>
  <c r="K221" i="1"/>
  <c r="L221" i="1"/>
  <c r="M221" i="1"/>
  <c r="N221" i="1"/>
  <c r="T221" i="1"/>
  <c r="U221" i="1"/>
  <c r="Z221" i="1"/>
  <c r="AA221" i="1"/>
  <c r="B222" i="1"/>
  <c r="E222" i="1"/>
  <c r="K222" i="1"/>
  <c r="L222" i="1"/>
  <c r="M222" i="1"/>
  <c r="N222" i="1"/>
  <c r="T222" i="1"/>
  <c r="U222" i="1"/>
  <c r="Z222" i="1"/>
  <c r="AA222" i="1"/>
  <c r="B223" i="1"/>
  <c r="E223" i="1"/>
  <c r="K223" i="1"/>
  <c r="L223" i="1"/>
  <c r="M223" i="1"/>
  <c r="N223" i="1"/>
  <c r="T223" i="1"/>
  <c r="U223" i="1"/>
  <c r="Z223" i="1"/>
  <c r="AA223" i="1"/>
  <c r="B224" i="1"/>
  <c r="E224" i="1"/>
  <c r="K224" i="1"/>
  <c r="L224" i="1"/>
  <c r="M224" i="1"/>
  <c r="N224" i="1"/>
  <c r="T224" i="1"/>
  <c r="U224" i="1"/>
  <c r="Z224" i="1"/>
  <c r="AA224" i="1"/>
  <c r="B225" i="1"/>
  <c r="E225" i="1"/>
  <c r="K225" i="1"/>
  <c r="L225" i="1"/>
  <c r="M225" i="1"/>
  <c r="N225" i="1"/>
  <c r="T225" i="1"/>
  <c r="U225" i="1"/>
  <c r="Z225" i="1"/>
  <c r="AA225" i="1"/>
  <c r="B226" i="1"/>
  <c r="E226" i="1"/>
  <c r="K226" i="1"/>
  <c r="L226" i="1"/>
  <c r="M226" i="1"/>
  <c r="N226" i="1"/>
  <c r="T226" i="1"/>
  <c r="U226" i="1"/>
  <c r="Z226" i="1"/>
  <c r="AA226" i="1"/>
  <c r="B227" i="1"/>
  <c r="E227" i="1"/>
  <c r="K227" i="1"/>
  <c r="L227" i="1"/>
  <c r="M227" i="1"/>
  <c r="N227" i="1"/>
  <c r="T227" i="1"/>
  <c r="U227" i="1"/>
  <c r="Z227" i="1"/>
  <c r="AA227" i="1"/>
  <c r="B228" i="1"/>
  <c r="E228" i="1"/>
  <c r="K228" i="1"/>
  <c r="L228" i="1"/>
  <c r="M228" i="1"/>
  <c r="N228" i="1"/>
  <c r="T228" i="1"/>
  <c r="U228" i="1"/>
  <c r="Z228" i="1"/>
  <c r="AA228" i="1"/>
  <c r="B229" i="1"/>
  <c r="E229" i="1"/>
  <c r="K229" i="1"/>
  <c r="L229" i="1"/>
  <c r="M229" i="1"/>
  <c r="N229" i="1"/>
  <c r="T229" i="1"/>
  <c r="U229" i="1"/>
  <c r="Z229" i="1"/>
  <c r="AA229" i="1"/>
  <c r="B230" i="1"/>
  <c r="E230" i="1"/>
  <c r="K230" i="1"/>
  <c r="L230" i="1"/>
  <c r="M230" i="1"/>
  <c r="N230" i="1"/>
  <c r="T230" i="1"/>
  <c r="U230" i="1"/>
  <c r="Z230" i="1"/>
  <c r="AA230" i="1"/>
  <c r="B231" i="1"/>
  <c r="E231" i="1"/>
  <c r="K231" i="1"/>
  <c r="L231" i="1"/>
  <c r="M231" i="1"/>
  <c r="N231" i="1"/>
  <c r="T231" i="1"/>
  <c r="U231" i="1"/>
  <c r="Z231" i="1"/>
  <c r="AA231" i="1"/>
  <c r="B232" i="1"/>
  <c r="E232" i="1"/>
  <c r="K232" i="1"/>
  <c r="L232" i="1"/>
  <c r="M232" i="1"/>
  <c r="N232" i="1"/>
  <c r="T232" i="1"/>
  <c r="U232" i="1"/>
  <c r="Z232" i="1"/>
  <c r="AA232" i="1"/>
  <c r="B233" i="1"/>
  <c r="E233" i="1"/>
  <c r="K233" i="1"/>
  <c r="L233" i="1"/>
  <c r="M233" i="1"/>
  <c r="N233" i="1"/>
  <c r="T233" i="1"/>
  <c r="U233" i="1"/>
  <c r="Z233" i="1"/>
  <c r="AA233" i="1"/>
  <c r="B234" i="1"/>
  <c r="E234" i="1"/>
  <c r="K234" i="1"/>
  <c r="L234" i="1"/>
  <c r="M234" i="1"/>
  <c r="N234" i="1"/>
  <c r="T234" i="1"/>
  <c r="U234" i="1"/>
  <c r="Z234" i="1"/>
  <c r="AA234" i="1"/>
  <c r="B235" i="1"/>
  <c r="E235" i="1"/>
  <c r="K235" i="1"/>
  <c r="L235" i="1"/>
  <c r="M235" i="1"/>
  <c r="N235" i="1"/>
  <c r="T235" i="1"/>
  <c r="U235" i="1"/>
  <c r="Z235" i="1"/>
  <c r="AA235" i="1"/>
  <c r="B236" i="1"/>
  <c r="E236" i="1"/>
  <c r="K236" i="1"/>
  <c r="L236" i="1"/>
  <c r="M236" i="1"/>
  <c r="N236" i="1"/>
  <c r="T236" i="1"/>
  <c r="U236" i="1"/>
  <c r="Z236" i="1"/>
  <c r="AA236" i="1"/>
  <c r="B237" i="1"/>
  <c r="E237" i="1"/>
  <c r="K237" i="1"/>
  <c r="L237" i="1"/>
  <c r="M237" i="1"/>
  <c r="N237" i="1"/>
  <c r="T237" i="1"/>
  <c r="U237" i="1"/>
  <c r="Z237" i="1"/>
  <c r="AA237" i="1"/>
  <c r="B238" i="1"/>
  <c r="E238" i="1"/>
  <c r="K238" i="1"/>
  <c r="L238" i="1"/>
  <c r="M238" i="1"/>
  <c r="N238" i="1"/>
  <c r="T238" i="1"/>
  <c r="U238" i="1"/>
  <c r="Z238" i="1"/>
  <c r="AA238" i="1"/>
  <c r="B239" i="1"/>
  <c r="E239" i="1"/>
  <c r="K239" i="1"/>
  <c r="L239" i="1"/>
  <c r="M239" i="1"/>
  <c r="N239" i="1"/>
  <c r="T239" i="1"/>
  <c r="U239" i="1"/>
  <c r="Z239" i="1"/>
  <c r="AA239" i="1"/>
  <c r="B240" i="1"/>
  <c r="E240" i="1"/>
  <c r="K240" i="1"/>
  <c r="L240" i="1"/>
  <c r="M240" i="1"/>
  <c r="N240" i="1"/>
  <c r="T240" i="1"/>
  <c r="U240" i="1"/>
  <c r="Z240" i="1"/>
  <c r="AA240" i="1"/>
  <c r="B241" i="1"/>
  <c r="E241" i="1"/>
  <c r="K241" i="1"/>
  <c r="L241" i="1"/>
  <c r="M241" i="1"/>
  <c r="N241" i="1"/>
  <c r="T241" i="1"/>
  <c r="U241" i="1"/>
  <c r="Z241" i="1"/>
  <c r="AA241" i="1"/>
  <c r="B242" i="1"/>
  <c r="E242" i="1"/>
  <c r="K242" i="1"/>
  <c r="L242" i="1"/>
  <c r="M242" i="1"/>
  <c r="N242" i="1"/>
  <c r="T242" i="1"/>
  <c r="U242" i="1"/>
  <c r="Z242" i="1"/>
  <c r="AA242" i="1"/>
  <c r="B243" i="1"/>
  <c r="E243" i="1"/>
  <c r="K243" i="1"/>
  <c r="L243" i="1"/>
  <c r="M243" i="1"/>
  <c r="N243" i="1"/>
  <c r="T243" i="1"/>
  <c r="U243" i="1"/>
  <c r="Z243" i="1"/>
  <c r="AA243" i="1"/>
  <c r="B244" i="1"/>
  <c r="E244" i="1"/>
  <c r="K244" i="1"/>
  <c r="L244" i="1"/>
  <c r="M244" i="1"/>
  <c r="N244" i="1"/>
  <c r="T244" i="1"/>
  <c r="U244" i="1"/>
  <c r="Z244" i="1"/>
  <c r="AA244" i="1"/>
  <c r="B245" i="1"/>
  <c r="E245" i="1"/>
  <c r="K245" i="1"/>
  <c r="L245" i="1"/>
  <c r="M245" i="1"/>
  <c r="N245" i="1"/>
  <c r="T245" i="1"/>
  <c r="U245" i="1"/>
  <c r="Z245" i="1"/>
  <c r="AA245" i="1"/>
  <c r="B246" i="1"/>
  <c r="E246" i="1"/>
  <c r="K246" i="1"/>
  <c r="L246" i="1"/>
  <c r="M246" i="1"/>
  <c r="N246" i="1"/>
  <c r="T246" i="1"/>
  <c r="U246" i="1"/>
  <c r="Z246" i="1"/>
  <c r="AA246" i="1"/>
  <c r="B247" i="1"/>
  <c r="E247" i="1"/>
  <c r="K247" i="1"/>
  <c r="L247" i="1"/>
  <c r="M247" i="1"/>
  <c r="N247" i="1"/>
  <c r="T247" i="1"/>
  <c r="U247" i="1"/>
  <c r="Z247" i="1"/>
  <c r="AA247" i="1"/>
  <c r="B248" i="1"/>
  <c r="E248" i="1"/>
  <c r="K248" i="1"/>
  <c r="L248" i="1"/>
  <c r="M248" i="1"/>
  <c r="N248" i="1"/>
  <c r="T248" i="1"/>
  <c r="U248" i="1"/>
  <c r="Z248" i="1"/>
  <c r="AA248" i="1"/>
  <c r="B249" i="1"/>
  <c r="E249" i="1"/>
  <c r="K249" i="1"/>
  <c r="L249" i="1"/>
  <c r="M249" i="1"/>
  <c r="N249" i="1"/>
  <c r="T249" i="1"/>
  <c r="U249" i="1"/>
  <c r="Z249" i="1"/>
  <c r="AA249" i="1"/>
  <c r="B250" i="1"/>
  <c r="E250" i="1"/>
  <c r="K250" i="1"/>
  <c r="L250" i="1"/>
  <c r="M250" i="1"/>
  <c r="N250" i="1"/>
  <c r="T250" i="1"/>
  <c r="U250" i="1"/>
  <c r="Z250" i="1"/>
  <c r="AA250" i="1"/>
  <c r="B251" i="1"/>
  <c r="E251" i="1"/>
  <c r="K251" i="1"/>
  <c r="L251" i="1"/>
  <c r="M251" i="1"/>
  <c r="N251" i="1"/>
  <c r="T251" i="1"/>
  <c r="U251" i="1"/>
  <c r="Z251" i="1"/>
  <c r="AA251" i="1"/>
  <c r="B252" i="1"/>
  <c r="E252" i="1"/>
  <c r="K252" i="1"/>
  <c r="L252" i="1"/>
  <c r="M252" i="1"/>
  <c r="N252" i="1"/>
  <c r="T252" i="1"/>
  <c r="U252" i="1"/>
  <c r="Z252" i="1"/>
  <c r="AA252" i="1"/>
  <c r="B253" i="1"/>
  <c r="E253" i="1"/>
  <c r="K253" i="1"/>
  <c r="L253" i="1"/>
  <c r="M253" i="1"/>
  <c r="N253" i="1"/>
  <c r="T253" i="1"/>
  <c r="U253" i="1"/>
  <c r="Z253" i="1"/>
  <c r="AA253" i="1"/>
  <c r="B254" i="1"/>
  <c r="E254" i="1"/>
  <c r="K254" i="1"/>
  <c r="L254" i="1"/>
  <c r="M254" i="1"/>
  <c r="N254" i="1"/>
  <c r="T254" i="1"/>
  <c r="U254" i="1"/>
  <c r="Z254" i="1"/>
  <c r="AA254" i="1"/>
  <c r="B255" i="1"/>
  <c r="E255" i="1"/>
  <c r="K255" i="1"/>
  <c r="L255" i="1"/>
  <c r="M255" i="1"/>
  <c r="N255" i="1"/>
  <c r="T255" i="1"/>
  <c r="U255" i="1"/>
  <c r="Z255" i="1"/>
  <c r="AA255" i="1"/>
  <c r="B256" i="1"/>
  <c r="E256" i="1"/>
  <c r="K256" i="1"/>
  <c r="L256" i="1"/>
  <c r="M256" i="1"/>
  <c r="N256" i="1"/>
  <c r="T256" i="1"/>
  <c r="U256" i="1"/>
  <c r="Z256" i="1"/>
  <c r="AA256" i="1"/>
  <c r="B257" i="1"/>
  <c r="E257" i="1"/>
  <c r="K257" i="1"/>
  <c r="L257" i="1"/>
  <c r="M257" i="1"/>
  <c r="N257" i="1"/>
  <c r="T257" i="1"/>
  <c r="U257" i="1"/>
  <c r="Z257" i="1"/>
  <c r="AA257" i="1"/>
  <c r="B258" i="1"/>
  <c r="E258" i="1"/>
  <c r="K258" i="1"/>
  <c r="L258" i="1"/>
  <c r="M258" i="1"/>
  <c r="N258" i="1"/>
  <c r="T258" i="1"/>
  <c r="U258" i="1"/>
  <c r="Z258" i="1"/>
  <c r="AA258" i="1"/>
  <c r="B259" i="1"/>
  <c r="E259" i="1"/>
  <c r="K259" i="1"/>
  <c r="L259" i="1"/>
  <c r="M259" i="1"/>
  <c r="N259" i="1"/>
  <c r="T259" i="1"/>
  <c r="U259" i="1"/>
  <c r="Z259" i="1"/>
  <c r="AA259" i="1"/>
  <c r="B260" i="1"/>
  <c r="E260" i="1"/>
  <c r="K260" i="1"/>
  <c r="L260" i="1"/>
  <c r="M260" i="1"/>
  <c r="N260" i="1"/>
  <c r="T260" i="1"/>
  <c r="U260" i="1"/>
  <c r="Z260" i="1"/>
  <c r="AA260" i="1"/>
  <c r="B261" i="1"/>
  <c r="E261" i="1"/>
  <c r="K261" i="1"/>
  <c r="L261" i="1"/>
  <c r="M261" i="1"/>
  <c r="N261" i="1"/>
  <c r="T261" i="1"/>
  <c r="U261" i="1"/>
  <c r="Z261" i="1"/>
  <c r="AA261" i="1"/>
  <c r="B262" i="1"/>
  <c r="E262" i="1"/>
  <c r="K262" i="1"/>
  <c r="L262" i="1"/>
  <c r="M262" i="1"/>
  <c r="N262" i="1"/>
  <c r="T262" i="1"/>
  <c r="U262" i="1"/>
  <c r="Z262" i="1"/>
  <c r="AA262" i="1"/>
  <c r="B263" i="1"/>
  <c r="E263" i="1"/>
  <c r="K263" i="1"/>
  <c r="L263" i="1"/>
  <c r="M263" i="1"/>
  <c r="N263" i="1"/>
  <c r="T263" i="1"/>
  <c r="U263" i="1"/>
  <c r="Z263" i="1"/>
  <c r="AA263" i="1"/>
  <c r="B264" i="1"/>
  <c r="E264" i="1"/>
  <c r="K264" i="1"/>
  <c r="L264" i="1"/>
  <c r="M264" i="1"/>
  <c r="N264" i="1"/>
  <c r="T264" i="1"/>
  <c r="U264" i="1"/>
  <c r="Z264" i="1"/>
  <c r="AA264" i="1"/>
  <c r="B265" i="1"/>
  <c r="E265" i="1"/>
  <c r="K265" i="1"/>
  <c r="L265" i="1"/>
  <c r="M265" i="1"/>
  <c r="N265" i="1"/>
  <c r="T265" i="1"/>
  <c r="U265" i="1"/>
  <c r="Z265" i="1"/>
  <c r="AA265" i="1"/>
  <c r="B266" i="1"/>
  <c r="E266" i="1"/>
  <c r="K266" i="1"/>
  <c r="L266" i="1"/>
  <c r="M266" i="1"/>
  <c r="N266" i="1"/>
  <c r="T266" i="1"/>
  <c r="U266" i="1"/>
  <c r="Z266" i="1"/>
  <c r="AA266" i="1"/>
  <c r="B267" i="1"/>
  <c r="E267" i="1"/>
  <c r="K267" i="1"/>
  <c r="L267" i="1"/>
  <c r="M267" i="1"/>
  <c r="N267" i="1"/>
  <c r="T267" i="1"/>
  <c r="U267" i="1"/>
  <c r="Z267" i="1"/>
  <c r="AA267" i="1"/>
  <c r="B268" i="1"/>
  <c r="E268" i="1"/>
  <c r="K268" i="1"/>
  <c r="L268" i="1"/>
  <c r="M268" i="1"/>
  <c r="N268" i="1"/>
  <c r="T268" i="1"/>
  <c r="U268" i="1"/>
  <c r="Z268" i="1"/>
  <c r="AA268" i="1"/>
  <c r="B269" i="1"/>
  <c r="E269" i="1"/>
  <c r="K269" i="1"/>
  <c r="L269" i="1"/>
  <c r="M269" i="1"/>
  <c r="N269" i="1"/>
  <c r="T269" i="1"/>
  <c r="U269" i="1"/>
  <c r="Z269" i="1"/>
  <c r="AA269" i="1"/>
  <c r="B270" i="1"/>
  <c r="E270" i="1"/>
  <c r="K270" i="1"/>
  <c r="L270" i="1"/>
  <c r="M270" i="1"/>
  <c r="N270" i="1"/>
  <c r="T270" i="1"/>
  <c r="U270" i="1"/>
  <c r="Z270" i="1"/>
  <c r="AA270" i="1"/>
  <c r="B271" i="1"/>
  <c r="E271" i="1"/>
  <c r="K271" i="1"/>
  <c r="L271" i="1"/>
  <c r="M271" i="1"/>
  <c r="N271" i="1"/>
  <c r="T271" i="1"/>
  <c r="U271" i="1"/>
  <c r="Z271" i="1"/>
  <c r="AA271" i="1"/>
  <c r="B272" i="1"/>
  <c r="E272" i="1"/>
  <c r="K272" i="1"/>
  <c r="L272" i="1"/>
  <c r="M272" i="1"/>
  <c r="N272" i="1"/>
  <c r="T272" i="1"/>
  <c r="U272" i="1"/>
  <c r="Z272" i="1"/>
  <c r="AA272" i="1"/>
  <c r="B273" i="1"/>
  <c r="E273" i="1"/>
  <c r="K273" i="1"/>
  <c r="L273" i="1"/>
  <c r="M273" i="1"/>
  <c r="N273" i="1"/>
  <c r="T273" i="1"/>
  <c r="U273" i="1"/>
  <c r="Z273" i="1"/>
  <c r="AA273" i="1"/>
  <c r="B274" i="1"/>
  <c r="E274" i="1"/>
  <c r="K274" i="1"/>
  <c r="L274" i="1"/>
  <c r="M274" i="1"/>
  <c r="N274" i="1"/>
  <c r="T274" i="1"/>
  <c r="U274" i="1"/>
  <c r="Z274" i="1"/>
  <c r="AA274" i="1"/>
  <c r="B275" i="1"/>
  <c r="E275" i="1"/>
  <c r="K275" i="1"/>
  <c r="L275" i="1"/>
  <c r="M275" i="1"/>
  <c r="N275" i="1"/>
  <c r="T275" i="1"/>
  <c r="U275" i="1"/>
  <c r="Z275" i="1"/>
  <c r="AA275" i="1"/>
  <c r="B276" i="1"/>
  <c r="E276" i="1"/>
  <c r="K276" i="1"/>
  <c r="L276" i="1"/>
  <c r="M276" i="1"/>
  <c r="N276" i="1"/>
  <c r="T276" i="1"/>
  <c r="U276" i="1"/>
  <c r="Z276" i="1"/>
  <c r="AA276" i="1"/>
  <c r="B277" i="1"/>
  <c r="E277" i="1"/>
  <c r="K277" i="1"/>
  <c r="L277" i="1"/>
  <c r="M277" i="1"/>
  <c r="N277" i="1"/>
  <c r="T277" i="1"/>
  <c r="U277" i="1"/>
  <c r="Z277" i="1"/>
  <c r="AA277" i="1"/>
  <c r="B278" i="1"/>
  <c r="E278" i="1"/>
  <c r="K278" i="1"/>
  <c r="L278" i="1"/>
  <c r="M278" i="1"/>
  <c r="N278" i="1"/>
  <c r="T278" i="1"/>
  <c r="U278" i="1"/>
  <c r="Z278" i="1"/>
  <c r="AA278" i="1"/>
  <c r="B279" i="1"/>
  <c r="E279" i="1"/>
  <c r="K279" i="1"/>
  <c r="L279" i="1"/>
  <c r="M279" i="1"/>
  <c r="N279" i="1"/>
  <c r="T279" i="1"/>
  <c r="U279" i="1"/>
  <c r="Z279" i="1"/>
  <c r="AA279" i="1"/>
  <c r="B280" i="1"/>
  <c r="E280" i="1"/>
  <c r="K280" i="1"/>
  <c r="L280" i="1"/>
  <c r="M280" i="1"/>
  <c r="N280" i="1"/>
  <c r="T280" i="1"/>
  <c r="U280" i="1"/>
  <c r="Z280" i="1"/>
  <c r="AA280" i="1"/>
  <c r="B281" i="1"/>
  <c r="E281" i="1"/>
  <c r="K281" i="1"/>
  <c r="L281" i="1"/>
  <c r="M281" i="1"/>
  <c r="N281" i="1"/>
  <c r="T281" i="1"/>
  <c r="U281" i="1"/>
  <c r="Z281" i="1"/>
  <c r="AA281" i="1"/>
  <c r="B282" i="1"/>
  <c r="E282" i="1"/>
  <c r="K282" i="1"/>
  <c r="L282" i="1"/>
  <c r="M282" i="1"/>
  <c r="N282" i="1"/>
  <c r="T282" i="1"/>
  <c r="U282" i="1"/>
  <c r="Z282" i="1"/>
  <c r="AA282" i="1"/>
  <c r="B283" i="1"/>
  <c r="E283" i="1"/>
  <c r="K283" i="1"/>
  <c r="L283" i="1"/>
  <c r="M283" i="1"/>
  <c r="N283" i="1"/>
  <c r="T283" i="1"/>
  <c r="U283" i="1"/>
  <c r="Z283" i="1"/>
  <c r="AA283" i="1"/>
  <c r="B284" i="1"/>
  <c r="E284" i="1"/>
  <c r="K284" i="1"/>
  <c r="L284" i="1"/>
  <c r="M284" i="1"/>
  <c r="N284" i="1"/>
  <c r="T284" i="1"/>
  <c r="U284" i="1"/>
  <c r="Z284" i="1"/>
  <c r="AA284" i="1"/>
  <c r="B285" i="1"/>
  <c r="E285" i="1"/>
  <c r="K285" i="1"/>
  <c r="L285" i="1"/>
  <c r="M285" i="1"/>
  <c r="N285" i="1"/>
  <c r="T285" i="1"/>
  <c r="U285" i="1"/>
  <c r="Z285" i="1"/>
  <c r="AA285" i="1"/>
  <c r="B286" i="1"/>
  <c r="E286" i="1"/>
  <c r="K286" i="1"/>
  <c r="L286" i="1"/>
  <c r="M286" i="1"/>
  <c r="N286" i="1"/>
  <c r="T286" i="1"/>
  <c r="U286" i="1"/>
  <c r="Z286" i="1"/>
  <c r="AA286" i="1"/>
  <c r="B287" i="1"/>
  <c r="E287" i="1"/>
  <c r="K287" i="1"/>
  <c r="L287" i="1"/>
  <c r="M287" i="1"/>
  <c r="N287" i="1"/>
  <c r="T287" i="1"/>
  <c r="U287" i="1"/>
  <c r="Z287" i="1"/>
  <c r="AA287" i="1"/>
  <c r="B288" i="1"/>
  <c r="E288" i="1"/>
  <c r="K288" i="1"/>
  <c r="L288" i="1"/>
  <c r="M288" i="1"/>
  <c r="N288" i="1"/>
  <c r="T288" i="1"/>
  <c r="U288" i="1"/>
  <c r="Z288" i="1"/>
  <c r="AA288" i="1"/>
  <c r="B289" i="1"/>
  <c r="E289" i="1"/>
  <c r="K289" i="1"/>
  <c r="L289" i="1"/>
  <c r="M289" i="1"/>
  <c r="N289" i="1"/>
  <c r="T289" i="1"/>
  <c r="U289" i="1"/>
  <c r="Z289" i="1"/>
  <c r="AA289" i="1"/>
  <c r="B290" i="1"/>
  <c r="E290" i="1"/>
  <c r="K290" i="1"/>
  <c r="L290" i="1"/>
  <c r="M290" i="1"/>
  <c r="N290" i="1"/>
  <c r="T290" i="1"/>
  <c r="U290" i="1"/>
  <c r="Z290" i="1"/>
  <c r="AA290" i="1"/>
  <c r="B291" i="1"/>
  <c r="E291" i="1"/>
  <c r="K291" i="1"/>
  <c r="L291" i="1"/>
  <c r="M291" i="1"/>
  <c r="N291" i="1"/>
  <c r="T291" i="1"/>
  <c r="U291" i="1"/>
  <c r="Z291" i="1"/>
  <c r="AA291" i="1"/>
  <c r="B292" i="1"/>
  <c r="E292" i="1"/>
  <c r="K292" i="1"/>
  <c r="L292" i="1"/>
  <c r="M292" i="1"/>
  <c r="N292" i="1"/>
  <c r="T292" i="1"/>
  <c r="U292" i="1"/>
  <c r="Z292" i="1"/>
  <c r="AA292" i="1"/>
  <c r="B293" i="1"/>
  <c r="E293" i="1"/>
  <c r="K293" i="1"/>
  <c r="L293" i="1"/>
  <c r="M293" i="1"/>
  <c r="N293" i="1"/>
  <c r="T293" i="1"/>
  <c r="U293" i="1"/>
  <c r="Z293" i="1"/>
  <c r="AA293" i="1"/>
  <c r="B294" i="1"/>
  <c r="E294" i="1"/>
  <c r="K294" i="1"/>
  <c r="L294" i="1"/>
  <c r="M294" i="1"/>
  <c r="N294" i="1"/>
  <c r="T294" i="1"/>
  <c r="U294" i="1"/>
  <c r="Z294" i="1"/>
  <c r="AA294" i="1"/>
  <c r="B295" i="1"/>
  <c r="E295" i="1"/>
  <c r="K295" i="1"/>
  <c r="L295" i="1"/>
  <c r="M295" i="1"/>
  <c r="N295" i="1"/>
  <c r="T295" i="1"/>
  <c r="U295" i="1"/>
  <c r="Z295" i="1"/>
  <c r="AA295" i="1"/>
  <c r="B296" i="1"/>
  <c r="E296" i="1"/>
  <c r="K296" i="1"/>
  <c r="L296" i="1"/>
  <c r="M296" i="1"/>
  <c r="N296" i="1"/>
  <c r="T296" i="1"/>
  <c r="U296" i="1"/>
  <c r="Z296" i="1"/>
  <c r="AA296" i="1"/>
  <c r="B297" i="1"/>
  <c r="E297" i="1"/>
  <c r="K297" i="1"/>
  <c r="L297" i="1"/>
  <c r="M297" i="1"/>
  <c r="N297" i="1"/>
  <c r="T297" i="1"/>
  <c r="U297" i="1"/>
  <c r="Z297" i="1"/>
  <c r="AA297" i="1"/>
  <c r="B298" i="1"/>
  <c r="E298" i="1"/>
  <c r="K298" i="1"/>
  <c r="L298" i="1"/>
  <c r="M298" i="1"/>
  <c r="N298" i="1"/>
  <c r="T298" i="1"/>
  <c r="U298" i="1"/>
  <c r="Z298" i="1"/>
  <c r="AA298" i="1"/>
  <c r="B299" i="1"/>
  <c r="E299" i="1"/>
  <c r="K299" i="1"/>
  <c r="L299" i="1"/>
  <c r="M299" i="1"/>
  <c r="N299" i="1"/>
  <c r="T299" i="1"/>
  <c r="U299" i="1"/>
  <c r="Z299" i="1"/>
  <c r="AA299" i="1"/>
  <c r="B300" i="1"/>
  <c r="E300" i="1"/>
  <c r="K300" i="1"/>
  <c r="L300" i="1"/>
  <c r="M300" i="1"/>
  <c r="N300" i="1"/>
  <c r="T300" i="1"/>
  <c r="U300" i="1"/>
  <c r="Z300" i="1"/>
  <c r="AA300" i="1"/>
  <c r="B301" i="1"/>
  <c r="E301" i="1"/>
  <c r="K301" i="1"/>
  <c r="L301" i="1"/>
  <c r="M301" i="1"/>
  <c r="N301" i="1"/>
  <c r="T301" i="1"/>
  <c r="U301" i="1"/>
  <c r="Z301" i="1"/>
  <c r="AA301" i="1"/>
  <c r="B302" i="1"/>
  <c r="E302" i="1"/>
  <c r="K302" i="1"/>
  <c r="L302" i="1"/>
  <c r="M302" i="1"/>
  <c r="N302" i="1"/>
  <c r="T302" i="1"/>
  <c r="U302" i="1"/>
  <c r="Z302" i="1"/>
  <c r="AA302" i="1"/>
  <c r="B303" i="1"/>
  <c r="E303" i="1"/>
  <c r="K303" i="1"/>
  <c r="L303" i="1"/>
  <c r="M303" i="1"/>
  <c r="N303" i="1"/>
  <c r="T303" i="1"/>
  <c r="U303" i="1"/>
  <c r="Z303" i="1"/>
  <c r="AA303" i="1"/>
  <c r="B304" i="1"/>
  <c r="E304" i="1"/>
  <c r="K304" i="1"/>
  <c r="L304" i="1"/>
  <c r="M304" i="1"/>
  <c r="N304" i="1"/>
  <c r="T304" i="1"/>
  <c r="U304" i="1"/>
  <c r="Z304" i="1"/>
  <c r="AA304" i="1"/>
  <c r="B305" i="1"/>
  <c r="E305" i="1"/>
  <c r="K305" i="1"/>
  <c r="L305" i="1"/>
  <c r="M305" i="1"/>
  <c r="N305" i="1"/>
  <c r="T305" i="1"/>
  <c r="U305" i="1"/>
  <c r="Z305" i="1"/>
  <c r="AA305" i="1"/>
  <c r="B306" i="1"/>
  <c r="E306" i="1"/>
  <c r="K306" i="1"/>
  <c r="L306" i="1"/>
  <c r="M306" i="1"/>
  <c r="N306" i="1"/>
  <c r="T306" i="1"/>
  <c r="U306" i="1"/>
  <c r="Z306" i="1"/>
  <c r="AA306" i="1"/>
  <c r="B307" i="1"/>
  <c r="E307" i="1"/>
  <c r="K307" i="1"/>
  <c r="L307" i="1"/>
  <c r="M307" i="1"/>
  <c r="N307" i="1"/>
  <c r="T307" i="1"/>
  <c r="U307" i="1"/>
  <c r="Z307" i="1"/>
  <c r="AA307" i="1"/>
  <c r="B308" i="1"/>
  <c r="E308" i="1"/>
  <c r="K308" i="1"/>
  <c r="L308" i="1"/>
  <c r="M308" i="1"/>
  <c r="N308" i="1"/>
  <c r="T308" i="1"/>
  <c r="U308" i="1"/>
  <c r="Z308" i="1"/>
  <c r="AA308" i="1"/>
  <c r="B309" i="1"/>
  <c r="E309" i="1"/>
  <c r="K309" i="1"/>
  <c r="L309" i="1"/>
  <c r="M309" i="1"/>
  <c r="N309" i="1"/>
  <c r="T309" i="1"/>
  <c r="U309" i="1"/>
  <c r="Z309" i="1"/>
  <c r="AA309" i="1"/>
  <c r="B310" i="1"/>
  <c r="E310" i="1"/>
  <c r="K310" i="1"/>
  <c r="L310" i="1"/>
  <c r="M310" i="1"/>
  <c r="N310" i="1"/>
  <c r="T310" i="1"/>
  <c r="U310" i="1"/>
  <c r="Z310" i="1"/>
  <c r="AA310" i="1"/>
  <c r="B311" i="1"/>
  <c r="E311" i="1"/>
  <c r="K311" i="1"/>
  <c r="L311" i="1"/>
  <c r="M311" i="1"/>
  <c r="N311" i="1"/>
  <c r="T311" i="1"/>
  <c r="U311" i="1"/>
  <c r="Z311" i="1"/>
  <c r="AA311" i="1"/>
  <c r="B312" i="1"/>
  <c r="E312" i="1"/>
  <c r="K312" i="1"/>
  <c r="L312" i="1"/>
  <c r="M312" i="1"/>
  <c r="N312" i="1"/>
  <c r="T312" i="1"/>
  <c r="U312" i="1"/>
  <c r="Z312" i="1"/>
  <c r="AA312" i="1"/>
  <c r="B313" i="1"/>
  <c r="E313" i="1"/>
  <c r="K313" i="1"/>
  <c r="L313" i="1"/>
  <c r="M313" i="1"/>
  <c r="N313" i="1"/>
  <c r="T313" i="1"/>
  <c r="U313" i="1"/>
  <c r="Z313" i="1"/>
  <c r="AA313" i="1"/>
  <c r="B314" i="1"/>
  <c r="E314" i="1"/>
  <c r="K314" i="1"/>
  <c r="L314" i="1"/>
  <c r="M314" i="1"/>
  <c r="N314" i="1"/>
  <c r="T314" i="1"/>
  <c r="U314" i="1"/>
  <c r="Z314" i="1"/>
  <c r="AA314" i="1"/>
  <c r="B315" i="1"/>
  <c r="E315" i="1"/>
  <c r="K315" i="1"/>
  <c r="L315" i="1"/>
  <c r="M315" i="1"/>
  <c r="N315" i="1"/>
  <c r="T315" i="1"/>
  <c r="U315" i="1"/>
  <c r="Z315" i="1"/>
  <c r="AA315" i="1"/>
  <c r="B316" i="1"/>
  <c r="E316" i="1"/>
  <c r="K316" i="1"/>
  <c r="L316" i="1"/>
  <c r="M316" i="1"/>
  <c r="N316" i="1"/>
  <c r="T316" i="1"/>
  <c r="U316" i="1"/>
  <c r="Z316" i="1"/>
  <c r="AA316" i="1"/>
  <c r="B317" i="1"/>
  <c r="E317" i="1"/>
  <c r="K317" i="1"/>
  <c r="L317" i="1"/>
  <c r="M317" i="1"/>
  <c r="N317" i="1"/>
  <c r="T317" i="1"/>
  <c r="U317" i="1"/>
  <c r="Z317" i="1"/>
  <c r="AA317" i="1"/>
  <c r="B318" i="1"/>
  <c r="E318" i="1"/>
  <c r="K318" i="1"/>
  <c r="L318" i="1"/>
  <c r="M318" i="1"/>
  <c r="N318" i="1"/>
  <c r="T318" i="1"/>
  <c r="U318" i="1"/>
  <c r="Z318" i="1"/>
  <c r="AA318" i="1"/>
  <c r="B319" i="1"/>
  <c r="E319" i="1"/>
  <c r="K319" i="1"/>
  <c r="L319" i="1"/>
  <c r="M319" i="1"/>
  <c r="N319" i="1"/>
  <c r="T319" i="1"/>
  <c r="U319" i="1"/>
  <c r="Z319" i="1"/>
  <c r="AA319" i="1"/>
  <c r="B320" i="1"/>
  <c r="E320" i="1"/>
  <c r="K320" i="1"/>
  <c r="L320" i="1"/>
  <c r="M320" i="1"/>
  <c r="N320" i="1"/>
  <c r="T320" i="1"/>
  <c r="U320" i="1"/>
  <c r="Z320" i="1"/>
  <c r="AA320" i="1"/>
  <c r="B321" i="1"/>
  <c r="E321" i="1"/>
  <c r="K321" i="1"/>
  <c r="L321" i="1"/>
  <c r="M321" i="1"/>
  <c r="N321" i="1"/>
  <c r="T321" i="1"/>
  <c r="U321" i="1"/>
  <c r="Z321" i="1"/>
  <c r="AA321" i="1"/>
  <c r="B322" i="1"/>
  <c r="E322" i="1"/>
  <c r="K322" i="1"/>
  <c r="L322" i="1"/>
  <c r="M322" i="1"/>
  <c r="N322" i="1"/>
  <c r="T322" i="1"/>
  <c r="U322" i="1"/>
  <c r="Z322" i="1"/>
  <c r="AA322" i="1"/>
  <c r="B323" i="1"/>
  <c r="E323" i="1"/>
  <c r="K323" i="1"/>
  <c r="L323" i="1"/>
  <c r="M323" i="1"/>
  <c r="N323" i="1"/>
  <c r="T323" i="1"/>
  <c r="U323" i="1"/>
  <c r="Z323" i="1"/>
  <c r="AA323" i="1"/>
  <c r="B324" i="1"/>
  <c r="E324" i="1"/>
  <c r="K324" i="1"/>
  <c r="L324" i="1"/>
  <c r="M324" i="1"/>
  <c r="N324" i="1"/>
  <c r="T324" i="1"/>
  <c r="U324" i="1"/>
  <c r="Z324" i="1"/>
  <c r="AA324" i="1"/>
  <c r="B325" i="1"/>
  <c r="E325" i="1"/>
  <c r="K325" i="1"/>
  <c r="L325" i="1"/>
  <c r="M325" i="1"/>
  <c r="N325" i="1"/>
  <c r="T325" i="1"/>
  <c r="U325" i="1"/>
  <c r="Z325" i="1"/>
  <c r="AA325" i="1"/>
  <c r="B326" i="1"/>
  <c r="E326" i="1"/>
  <c r="K326" i="1"/>
  <c r="L326" i="1"/>
  <c r="M326" i="1"/>
  <c r="N326" i="1"/>
  <c r="T326" i="1"/>
  <c r="U326" i="1"/>
  <c r="Z326" i="1"/>
  <c r="AA326" i="1"/>
  <c r="B327" i="1"/>
  <c r="E327" i="1"/>
  <c r="K327" i="1"/>
  <c r="L327" i="1"/>
  <c r="M327" i="1"/>
  <c r="N327" i="1"/>
  <c r="T327" i="1"/>
  <c r="U327" i="1"/>
  <c r="Z327" i="1"/>
  <c r="AA327" i="1"/>
  <c r="B328" i="1"/>
  <c r="E328" i="1"/>
  <c r="K328" i="1"/>
  <c r="L328" i="1"/>
  <c r="M328" i="1"/>
  <c r="N328" i="1"/>
  <c r="T328" i="1"/>
  <c r="U328" i="1"/>
  <c r="Z328" i="1"/>
  <c r="AA328" i="1"/>
  <c r="B329" i="1"/>
  <c r="E329" i="1"/>
  <c r="K329" i="1"/>
  <c r="L329" i="1"/>
  <c r="M329" i="1"/>
  <c r="N329" i="1"/>
  <c r="T329" i="1"/>
  <c r="U329" i="1"/>
  <c r="Z329" i="1"/>
  <c r="AA329" i="1"/>
  <c r="B330" i="1"/>
  <c r="E330" i="1"/>
  <c r="K330" i="1"/>
  <c r="L330" i="1"/>
  <c r="M330" i="1"/>
  <c r="N330" i="1"/>
  <c r="T330" i="1"/>
  <c r="U330" i="1"/>
  <c r="Z330" i="1"/>
  <c r="AA330" i="1"/>
  <c r="B331" i="1"/>
  <c r="E331" i="1"/>
  <c r="K331" i="1"/>
  <c r="L331" i="1"/>
  <c r="M331" i="1"/>
  <c r="N331" i="1"/>
  <c r="T331" i="1"/>
  <c r="U331" i="1"/>
  <c r="Z331" i="1"/>
  <c r="AA331" i="1"/>
  <c r="B332" i="1"/>
  <c r="E332" i="1"/>
  <c r="K332" i="1"/>
  <c r="L332" i="1"/>
  <c r="M332" i="1"/>
  <c r="N332" i="1"/>
  <c r="T332" i="1"/>
  <c r="U332" i="1"/>
  <c r="Z332" i="1"/>
  <c r="AA332" i="1"/>
  <c r="B333" i="1"/>
  <c r="E333" i="1"/>
  <c r="K333" i="1"/>
  <c r="L333" i="1"/>
  <c r="M333" i="1"/>
  <c r="N333" i="1"/>
  <c r="T333" i="1"/>
  <c r="U333" i="1"/>
  <c r="Z333" i="1"/>
  <c r="AA333" i="1"/>
  <c r="B334" i="1"/>
  <c r="E334" i="1"/>
  <c r="K334" i="1"/>
  <c r="L334" i="1"/>
  <c r="M334" i="1"/>
  <c r="N334" i="1"/>
  <c r="T334" i="1"/>
  <c r="U334" i="1"/>
  <c r="Z334" i="1"/>
  <c r="AA334" i="1"/>
  <c r="B335" i="1"/>
  <c r="E335" i="1"/>
  <c r="K335" i="1"/>
  <c r="L335" i="1"/>
  <c r="M335" i="1"/>
  <c r="N335" i="1"/>
  <c r="T335" i="1"/>
  <c r="U335" i="1"/>
  <c r="Z335" i="1"/>
  <c r="AA335" i="1"/>
  <c r="B336" i="1"/>
  <c r="E336" i="1"/>
  <c r="K336" i="1"/>
  <c r="L336" i="1"/>
  <c r="M336" i="1"/>
  <c r="N336" i="1"/>
  <c r="T336" i="1"/>
  <c r="U336" i="1"/>
  <c r="Z336" i="1"/>
  <c r="AA336" i="1"/>
  <c r="B337" i="1"/>
  <c r="E337" i="1"/>
  <c r="K337" i="1"/>
  <c r="L337" i="1"/>
  <c r="M337" i="1"/>
  <c r="N337" i="1"/>
  <c r="T337" i="1"/>
  <c r="U337" i="1"/>
  <c r="Z337" i="1"/>
  <c r="AA337" i="1"/>
  <c r="B338" i="1"/>
  <c r="E338" i="1"/>
  <c r="K338" i="1"/>
  <c r="L338" i="1"/>
  <c r="M338" i="1"/>
  <c r="N338" i="1"/>
  <c r="T338" i="1"/>
  <c r="U338" i="1"/>
  <c r="Z338" i="1"/>
  <c r="AA338" i="1"/>
  <c r="B339" i="1"/>
  <c r="E339" i="1"/>
  <c r="K339" i="1"/>
  <c r="L339" i="1"/>
  <c r="M339" i="1"/>
  <c r="N339" i="1"/>
  <c r="T339" i="1"/>
  <c r="U339" i="1"/>
  <c r="Z339" i="1"/>
  <c r="AA339" i="1"/>
  <c r="B340" i="1"/>
  <c r="E340" i="1"/>
  <c r="K340" i="1"/>
  <c r="L340" i="1"/>
  <c r="M340" i="1"/>
  <c r="N340" i="1"/>
  <c r="T340" i="1"/>
  <c r="U340" i="1"/>
  <c r="Z340" i="1"/>
  <c r="AA340" i="1"/>
  <c r="B341" i="1"/>
  <c r="E341" i="1"/>
  <c r="K341" i="1"/>
  <c r="L341" i="1"/>
  <c r="M341" i="1"/>
  <c r="N341" i="1"/>
  <c r="T341" i="1"/>
  <c r="U341" i="1"/>
  <c r="Z341" i="1"/>
  <c r="AA341" i="1"/>
  <c r="B342" i="1"/>
  <c r="E342" i="1"/>
  <c r="K342" i="1"/>
  <c r="L342" i="1"/>
  <c r="M342" i="1"/>
  <c r="N342" i="1"/>
  <c r="T342" i="1"/>
  <c r="U342" i="1"/>
  <c r="Z342" i="1"/>
  <c r="AA342" i="1"/>
  <c r="B343" i="1"/>
  <c r="E343" i="1"/>
  <c r="K343" i="1"/>
  <c r="L343" i="1"/>
  <c r="M343" i="1"/>
  <c r="N343" i="1"/>
  <c r="T343" i="1"/>
  <c r="U343" i="1"/>
  <c r="Z343" i="1"/>
  <c r="AA343" i="1"/>
  <c r="B344" i="1"/>
  <c r="E344" i="1"/>
  <c r="K344" i="1"/>
  <c r="L344" i="1"/>
  <c r="M344" i="1"/>
  <c r="N344" i="1"/>
  <c r="T344" i="1"/>
  <c r="U344" i="1"/>
  <c r="Z344" i="1"/>
  <c r="AA344" i="1"/>
  <c r="B345" i="1"/>
  <c r="E345" i="1"/>
  <c r="K345" i="1"/>
  <c r="L345" i="1"/>
  <c r="M345" i="1"/>
  <c r="N345" i="1"/>
  <c r="T345" i="1"/>
  <c r="U345" i="1"/>
  <c r="Z345" i="1"/>
  <c r="AA345" i="1"/>
  <c r="B346" i="1"/>
  <c r="E346" i="1"/>
  <c r="K346" i="1"/>
  <c r="L346" i="1"/>
  <c r="M346" i="1"/>
  <c r="N346" i="1"/>
  <c r="T346" i="1"/>
  <c r="U346" i="1"/>
  <c r="Z346" i="1"/>
  <c r="AA346" i="1"/>
  <c r="B347" i="1"/>
  <c r="E347" i="1"/>
  <c r="K347" i="1"/>
  <c r="L347" i="1"/>
  <c r="M347" i="1"/>
  <c r="N347" i="1"/>
  <c r="T347" i="1"/>
  <c r="U347" i="1"/>
  <c r="Z347" i="1"/>
  <c r="AA347" i="1"/>
  <c r="B348" i="1"/>
  <c r="E348" i="1"/>
  <c r="K348" i="1"/>
  <c r="L348" i="1"/>
  <c r="M348" i="1"/>
  <c r="N348" i="1"/>
  <c r="T348" i="1"/>
  <c r="U348" i="1"/>
  <c r="Z348" i="1"/>
  <c r="AA348" i="1"/>
  <c r="B349" i="1"/>
  <c r="E349" i="1"/>
  <c r="K349" i="1"/>
  <c r="L349" i="1"/>
  <c r="M349" i="1"/>
  <c r="N349" i="1"/>
  <c r="T349" i="1"/>
  <c r="U349" i="1"/>
  <c r="Z349" i="1"/>
  <c r="AA349" i="1"/>
  <c r="B350" i="1"/>
  <c r="E350" i="1"/>
  <c r="K350" i="1"/>
  <c r="L350" i="1"/>
  <c r="M350" i="1"/>
  <c r="N350" i="1"/>
  <c r="T350" i="1"/>
  <c r="U350" i="1"/>
  <c r="Z350" i="1"/>
  <c r="AA350" i="1"/>
  <c r="B351" i="1"/>
  <c r="E351" i="1"/>
  <c r="K351" i="1"/>
  <c r="L351" i="1"/>
  <c r="M351" i="1"/>
  <c r="N351" i="1"/>
  <c r="T351" i="1"/>
  <c r="U351" i="1"/>
  <c r="Z351" i="1"/>
  <c r="AA351" i="1"/>
  <c r="B352" i="1"/>
  <c r="E352" i="1"/>
  <c r="K352" i="1"/>
  <c r="L352" i="1"/>
  <c r="M352" i="1"/>
  <c r="N352" i="1"/>
  <c r="T352" i="1"/>
  <c r="U352" i="1"/>
  <c r="Z352" i="1"/>
  <c r="AA352" i="1"/>
  <c r="B353" i="1"/>
  <c r="E353" i="1"/>
  <c r="K353" i="1"/>
  <c r="L353" i="1"/>
  <c r="M353" i="1"/>
  <c r="N353" i="1"/>
  <c r="T353" i="1"/>
  <c r="U353" i="1"/>
  <c r="Z353" i="1"/>
  <c r="AA353" i="1"/>
  <c r="B354" i="1"/>
  <c r="E354" i="1"/>
  <c r="K354" i="1"/>
  <c r="L354" i="1"/>
  <c r="M354" i="1"/>
  <c r="N354" i="1"/>
  <c r="T354" i="1"/>
  <c r="U354" i="1"/>
  <c r="Z354" i="1"/>
  <c r="AA354" i="1"/>
  <c r="B355" i="1"/>
  <c r="E355" i="1"/>
  <c r="K355" i="1"/>
  <c r="L355" i="1"/>
  <c r="M355" i="1"/>
  <c r="N355" i="1"/>
  <c r="T355" i="1"/>
  <c r="U355" i="1"/>
  <c r="Z355" i="1"/>
  <c r="AA355" i="1"/>
  <c r="B356" i="1"/>
  <c r="E356" i="1"/>
  <c r="K356" i="1"/>
  <c r="L356" i="1"/>
  <c r="M356" i="1"/>
  <c r="N356" i="1"/>
  <c r="T356" i="1"/>
  <c r="U356" i="1"/>
  <c r="Z356" i="1"/>
  <c r="AA356" i="1"/>
  <c r="B357" i="1"/>
  <c r="E357" i="1"/>
  <c r="K357" i="1"/>
  <c r="L357" i="1"/>
  <c r="M357" i="1"/>
  <c r="N357" i="1"/>
  <c r="T357" i="1"/>
  <c r="U357" i="1"/>
  <c r="Z357" i="1"/>
  <c r="AA357" i="1"/>
  <c r="B358" i="1"/>
  <c r="E358" i="1"/>
  <c r="K358" i="1"/>
  <c r="L358" i="1"/>
  <c r="M358" i="1"/>
  <c r="N358" i="1"/>
  <c r="T358" i="1"/>
  <c r="U358" i="1"/>
  <c r="Z358" i="1"/>
  <c r="AA358" i="1"/>
  <c r="B359" i="1"/>
  <c r="E359" i="1"/>
  <c r="K359" i="1"/>
  <c r="L359" i="1"/>
  <c r="M359" i="1"/>
  <c r="N359" i="1"/>
  <c r="T359" i="1"/>
  <c r="U359" i="1"/>
  <c r="Z359" i="1"/>
  <c r="AA359" i="1"/>
  <c r="B360" i="1"/>
  <c r="E360" i="1"/>
  <c r="K360" i="1"/>
  <c r="L360" i="1"/>
  <c r="M360" i="1"/>
  <c r="N360" i="1"/>
  <c r="T360" i="1"/>
  <c r="U360" i="1"/>
  <c r="Z360" i="1"/>
  <c r="AA360" i="1"/>
  <c r="B361" i="1"/>
  <c r="E361" i="1"/>
  <c r="K361" i="1"/>
  <c r="L361" i="1"/>
  <c r="M361" i="1"/>
  <c r="N361" i="1"/>
  <c r="T361" i="1"/>
  <c r="U361" i="1"/>
  <c r="Z361" i="1"/>
  <c r="AA361" i="1"/>
  <c r="B362" i="1"/>
  <c r="E362" i="1"/>
  <c r="K362" i="1"/>
  <c r="L362" i="1"/>
  <c r="M362" i="1"/>
  <c r="N362" i="1"/>
  <c r="T362" i="1"/>
  <c r="U362" i="1"/>
  <c r="Z362" i="1"/>
  <c r="AA362" i="1"/>
  <c r="B363" i="1"/>
  <c r="E363" i="1"/>
  <c r="K363" i="1"/>
  <c r="L363" i="1"/>
  <c r="M363" i="1"/>
  <c r="N363" i="1"/>
  <c r="T363" i="1"/>
  <c r="U363" i="1"/>
  <c r="Z363" i="1"/>
  <c r="AA363" i="1"/>
  <c r="B364" i="1"/>
  <c r="E364" i="1"/>
  <c r="K364" i="1"/>
  <c r="L364" i="1"/>
  <c r="M364" i="1"/>
  <c r="N364" i="1"/>
  <c r="T364" i="1"/>
  <c r="U364" i="1"/>
  <c r="Z364" i="1"/>
  <c r="AA364" i="1"/>
  <c r="B365" i="1"/>
  <c r="E365" i="1"/>
  <c r="K365" i="1"/>
  <c r="L365" i="1"/>
  <c r="M365" i="1"/>
  <c r="N365" i="1"/>
  <c r="T365" i="1"/>
  <c r="U365" i="1"/>
  <c r="Z365" i="1"/>
  <c r="AA365" i="1"/>
  <c r="B366" i="1"/>
  <c r="E366" i="1"/>
  <c r="K366" i="1"/>
  <c r="L366" i="1"/>
  <c r="M366" i="1"/>
  <c r="N366" i="1"/>
  <c r="T366" i="1"/>
  <c r="U366" i="1"/>
  <c r="Z366" i="1"/>
  <c r="AA366" i="1"/>
  <c r="B367" i="1"/>
  <c r="E367" i="1"/>
  <c r="K367" i="1"/>
  <c r="L367" i="1"/>
  <c r="M367" i="1"/>
  <c r="N367" i="1"/>
  <c r="T367" i="1"/>
  <c r="U367" i="1"/>
  <c r="Z367" i="1"/>
  <c r="AA367" i="1"/>
  <c r="B368" i="1"/>
  <c r="E368" i="1"/>
  <c r="K368" i="1"/>
  <c r="L368" i="1"/>
  <c r="M368" i="1"/>
  <c r="N368" i="1"/>
  <c r="T368" i="1"/>
  <c r="U368" i="1"/>
  <c r="Z368" i="1"/>
  <c r="AA368" i="1"/>
  <c r="B369" i="1"/>
  <c r="E369" i="1"/>
  <c r="K369" i="1"/>
  <c r="L369" i="1"/>
  <c r="M369" i="1"/>
  <c r="N369" i="1"/>
  <c r="T369" i="1"/>
  <c r="U369" i="1"/>
  <c r="Z369" i="1"/>
  <c r="AA369" i="1"/>
  <c r="B370" i="1"/>
  <c r="E370" i="1"/>
  <c r="K370" i="1"/>
  <c r="L370" i="1"/>
  <c r="M370" i="1"/>
  <c r="N370" i="1"/>
  <c r="T370" i="1"/>
  <c r="U370" i="1"/>
  <c r="Z370" i="1"/>
  <c r="AA370" i="1"/>
  <c r="B371" i="1"/>
  <c r="E371" i="1"/>
  <c r="K371" i="1"/>
  <c r="L371" i="1"/>
  <c r="M371" i="1"/>
  <c r="N371" i="1"/>
  <c r="T371" i="1"/>
  <c r="U371" i="1"/>
  <c r="Z371" i="1"/>
  <c r="AA371" i="1"/>
  <c r="B372" i="1"/>
  <c r="E372" i="1"/>
  <c r="K372" i="1"/>
  <c r="L372" i="1"/>
  <c r="M372" i="1"/>
  <c r="N372" i="1"/>
  <c r="T372" i="1"/>
  <c r="U372" i="1"/>
  <c r="Z372" i="1"/>
  <c r="AA372" i="1"/>
  <c r="B373" i="1"/>
  <c r="E373" i="1"/>
  <c r="K373" i="1"/>
  <c r="L373" i="1"/>
  <c r="M373" i="1"/>
  <c r="N373" i="1"/>
  <c r="T373" i="1"/>
  <c r="U373" i="1"/>
  <c r="Z373" i="1"/>
  <c r="AA373" i="1"/>
  <c r="B374" i="1"/>
  <c r="E374" i="1"/>
  <c r="K374" i="1"/>
  <c r="L374" i="1"/>
  <c r="M374" i="1"/>
  <c r="N374" i="1"/>
  <c r="T374" i="1"/>
  <c r="U374" i="1"/>
  <c r="Z374" i="1"/>
  <c r="AA374" i="1"/>
  <c r="B375" i="1"/>
  <c r="E375" i="1"/>
  <c r="K375" i="1"/>
  <c r="L375" i="1"/>
  <c r="M375" i="1"/>
  <c r="N375" i="1"/>
  <c r="T375" i="1"/>
  <c r="U375" i="1"/>
  <c r="Z375" i="1"/>
  <c r="AA375" i="1"/>
  <c r="B376" i="1"/>
  <c r="E376" i="1"/>
  <c r="K376" i="1"/>
  <c r="L376" i="1"/>
  <c r="M376" i="1"/>
  <c r="N376" i="1"/>
  <c r="T376" i="1"/>
  <c r="U376" i="1"/>
  <c r="Z376" i="1"/>
  <c r="AA376" i="1"/>
  <c r="B377" i="1"/>
  <c r="E377" i="1"/>
  <c r="K377" i="1"/>
  <c r="L377" i="1"/>
  <c r="M377" i="1"/>
  <c r="N377" i="1"/>
  <c r="T377" i="1"/>
  <c r="U377" i="1"/>
  <c r="Z377" i="1"/>
  <c r="AA377" i="1"/>
  <c r="B378" i="1"/>
  <c r="E378" i="1"/>
  <c r="K378" i="1"/>
  <c r="L378" i="1"/>
  <c r="M378" i="1"/>
  <c r="N378" i="1"/>
  <c r="T378" i="1"/>
  <c r="U378" i="1"/>
  <c r="Z378" i="1"/>
  <c r="AA378" i="1"/>
  <c r="B379" i="1"/>
  <c r="E379" i="1"/>
  <c r="K379" i="1"/>
  <c r="L379" i="1"/>
  <c r="M379" i="1"/>
  <c r="N379" i="1"/>
  <c r="T379" i="1"/>
  <c r="U379" i="1"/>
  <c r="Z379" i="1"/>
  <c r="AA379" i="1"/>
  <c r="B380" i="1"/>
  <c r="E380" i="1"/>
  <c r="K380" i="1"/>
  <c r="L380" i="1"/>
  <c r="M380" i="1"/>
  <c r="N380" i="1"/>
  <c r="T380" i="1"/>
  <c r="U380" i="1"/>
  <c r="Z380" i="1"/>
  <c r="AA380" i="1"/>
  <c r="B381" i="1"/>
  <c r="E381" i="1"/>
  <c r="K381" i="1"/>
  <c r="L381" i="1"/>
  <c r="M381" i="1"/>
  <c r="N381" i="1"/>
  <c r="T381" i="1"/>
  <c r="U381" i="1"/>
  <c r="Z381" i="1"/>
  <c r="AA381" i="1"/>
  <c r="B382" i="1"/>
  <c r="E382" i="1"/>
  <c r="K382" i="1"/>
  <c r="L382" i="1"/>
  <c r="M382" i="1"/>
  <c r="N382" i="1"/>
  <c r="T382" i="1"/>
  <c r="U382" i="1"/>
  <c r="Z382" i="1"/>
  <c r="AA382" i="1"/>
  <c r="B383" i="1"/>
  <c r="E383" i="1"/>
  <c r="K383" i="1"/>
  <c r="L383" i="1"/>
  <c r="M383" i="1"/>
  <c r="N383" i="1"/>
  <c r="T383" i="1"/>
  <c r="U383" i="1"/>
  <c r="Z383" i="1"/>
  <c r="AA383" i="1"/>
  <c r="B384" i="1"/>
  <c r="E384" i="1"/>
  <c r="K384" i="1"/>
  <c r="L384" i="1"/>
  <c r="M384" i="1"/>
  <c r="N384" i="1"/>
  <c r="T384" i="1"/>
  <c r="U384" i="1"/>
  <c r="Z384" i="1"/>
  <c r="AA384" i="1"/>
  <c r="B385" i="1"/>
  <c r="E385" i="1"/>
  <c r="K385" i="1"/>
  <c r="L385" i="1"/>
  <c r="M385" i="1"/>
  <c r="N385" i="1"/>
  <c r="T385" i="1"/>
  <c r="U385" i="1"/>
  <c r="Z385" i="1"/>
  <c r="AA385" i="1"/>
  <c r="B386" i="1"/>
  <c r="E386" i="1"/>
  <c r="K386" i="1"/>
  <c r="L386" i="1"/>
  <c r="M386" i="1"/>
  <c r="N386" i="1"/>
  <c r="T386" i="1"/>
  <c r="U386" i="1"/>
  <c r="Z386" i="1"/>
  <c r="AA386" i="1"/>
  <c r="B387" i="1"/>
  <c r="E387" i="1"/>
  <c r="K387" i="1"/>
  <c r="L387" i="1"/>
  <c r="M387" i="1"/>
  <c r="N387" i="1"/>
  <c r="T387" i="1"/>
  <c r="U387" i="1"/>
  <c r="Z387" i="1"/>
  <c r="AA387" i="1"/>
  <c r="B388" i="1"/>
  <c r="E388" i="1"/>
  <c r="K388" i="1"/>
  <c r="L388" i="1"/>
  <c r="M388" i="1"/>
  <c r="N388" i="1"/>
  <c r="T388" i="1"/>
  <c r="U388" i="1"/>
  <c r="Z388" i="1"/>
  <c r="AA388" i="1"/>
  <c r="B389" i="1"/>
  <c r="E389" i="1"/>
  <c r="K389" i="1"/>
  <c r="L389" i="1"/>
  <c r="M389" i="1"/>
  <c r="N389" i="1"/>
  <c r="T389" i="1"/>
  <c r="U389" i="1"/>
  <c r="Z389" i="1"/>
  <c r="AA389" i="1"/>
  <c r="B390" i="1"/>
  <c r="E390" i="1"/>
  <c r="K390" i="1"/>
  <c r="L390" i="1"/>
  <c r="M390" i="1"/>
  <c r="N390" i="1"/>
  <c r="T390" i="1"/>
  <c r="U390" i="1"/>
  <c r="Z390" i="1"/>
  <c r="AA390" i="1"/>
  <c r="B391" i="1"/>
  <c r="E391" i="1"/>
  <c r="K391" i="1"/>
  <c r="L391" i="1"/>
  <c r="M391" i="1"/>
  <c r="N391" i="1"/>
  <c r="T391" i="1"/>
  <c r="U391" i="1"/>
  <c r="Z391" i="1"/>
  <c r="AA391" i="1"/>
  <c r="B392" i="1"/>
  <c r="E392" i="1"/>
  <c r="K392" i="1"/>
  <c r="L392" i="1"/>
  <c r="M392" i="1"/>
  <c r="N392" i="1"/>
  <c r="T392" i="1"/>
  <c r="U392" i="1"/>
  <c r="Z392" i="1"/>
  <c r="AA392" i="1"/>
  <c r="B393" i="1"/>
  <c r="E393" i="1"/>
  <c r="K393" i="1"/>
  <c r="L393" i="1"/>
  <c r="M393" i="1"/>
  <c r="N393" i="1"/>
  <c r="T393" i="1"/>
  <c r="U393" i="1"/>
  <c r="Z393" i="1"/>
  <c r="AA393" i="1"/>
  <c r="B394" i="1"/>
  <c r="E394" i="1"/>
  <c r="K394" i="1"/>
  <c r="L394" i="1"/>
  <c r="M394" i="1"/>
  <c r="N394" i="1"/>
  <c r="T394" i="1"/>
  <c r="U394" i="1"/>
  <c r="Z394" i="1"/>
  <c r="AA394" i="1"/>
  <c r="B395" i="1"/>
  <c r="E395" i="1"/>
  <c r="K395" i="1"/>
  <c r="L395" i="1"/>
  <c r="M395" i="1"/>
  <c r="N395" i="1"/>
  <c r="T395" i="1"/>
  <c r="U395" i="1"/>
  <c r="Z395" i="1"/>
  <c r="AA395" i="1"/>
  <c r="B396" i="1"/>
  <c r="E396" i="1"/>
  <c r="K396" i="1"/>
  <c r="L396" i="1"/>
  <c r="M396" i="1"/>
  <c r="N396" i="1"/>
  <c r="T396" i="1"/>
  <c r="U396" i="1"/>
  <c r="Z396" i="1"/>
  <c r="AA396" i="1"/>
  <c r="B397" i="1"/>
  <c r="E397" i="1"/>
  <c r="K397" i="1"/>
  <c r="L397" i="1"/>
  <c r="M397" i="1"/>
  <c r="N397" i="1"/>
  <c r="T397" i="1"/>
  <c r="U397" i="1"/>
  <c r="Z397" i="1"/>
  <c r="AA397" i="1"/>
  <c r="B398" i="1"/>
  <c r="E398" i="1"/>
  <c r="K398" i="1"/>
  <c r="L398" i="1"/>
  <c r="M398" i="1"/>
  <c r="N398" i="1"/>
  <c r="T398" i="1"/>
  <c r="U398" i="1"/>
  <c r="Z398" i="1"/>
  <c r="AA398" i="1"/>
  <c r="B399" i="1"/>
  <c r="E399" i="1"/>
  <c r="K399" i="1"/>
  <c r="L399" i="1"/>
  <c r="M399" i="1"/>
  <c r="N399" i="1"/>
  <c r="T399" i="1"/>
  <c r="U399" i="1"/>
  <c r="Z399" i="1"/>
  <c r="AA399" i="1"/>
  <c r="B400" i="1"/>
  <c r="E400" i="1"/>
  <c r="K400" i="1"/>
  <c r="L400" i="1"/>
  <c r="M400" i="1"/>
  <c r="N400" i="1"/>
  <c r="T400" i="1"/>
  <c r="U400" i="1"/>
  <c r="Z400" i="1"/>
  <c r="AA400" i="1"/>
  <c r="B401" i="1"/>
  <c r="E401" i="1"/>
  <c r="K401" i="1"/>
  <c r="L401" i="1"/>
  <c r="M401" i="1"/>
  <c r="N401" i="1"/>
  <c r="T401" i="1"/>
  <c r="U401" i="1"/>
  <c r="Z401" i="1"/>
  <c r="AA401" i="1"/>
  <c r="B402" i="1"/>
  <c r="E402" i="1"/>
  <c r="K402" i="1"/>
  <c r="L402" i="1"/>
  <c r="M402" i="1"/>
  <c r="N402" i="1"/>
  <c r="T402" i="1"/>
  <c r="U402" i="1"/>
  <c r="Z402" i="1"/>
  <c r="AA402" i="1"/>
  <c r="B403" i="1"/>
  <c r="E403" i="1"/>
  <c r="K403" i="1"/>
  <c r="L403" i="1"/>
  <c r="M403" i="1"/>
  <c r="N403" i="1"/>
  <c r="T403" i="1"/>
  <c r="U403" i="1"/>
  <c r="Z403" i="1"/>
  <c r="AA403" i="1"/>
  <c r="B404" i="1"/>
  <c r="E404" i="1"/>
  <c r="K404" i="1"/>
  <c r="L404" i="1"/>
  <c r="M404" i="1"/>
  <c r="N404" i="1"/>
  <c r="T404" i="1"/>
  <c r="U404" i="1"/>
  <c r="Z404" i="1"/>
  <c r="AA404" i="1"/>
  <c r="B405" i="1"/>
  <c r="E405" i="1"/>
  <c r="K405" i="1"/>
  <c r="L405" i="1"/>
  <c r="M405" i="1"/>
  <c r="N405" i="1"/>
  <c r="T405" i="1"/>
  <c r="U405" i="1"/>
  <c r="Z405" i="1"/>
  <c r="AA405" i="1"/>
  <c r="B406" i="1"/>
  <c r="E406" i="1"/>
  <c r="K406" i="1"/>
  <c r="L406" i="1"/>
  <c r="M406" i="1"/>
  <c r="N406" i="1"/>
  <c r="T406" i="1"/>
  <c r="U406" i="1"/>
  <c r="Z406" i="1"/>
  <c r="AA406" i="1"/>
  <c r="B407" i="1"/>
  <c r="E407" i="1"/>
  <c r="K407" i="1"/>
  <c r="L407" i="1"/>
  <c r="M407" i="1"/>
  <c r="N407" i="1"/>
  <c r="T407" i="1"/>
  <c r="U407" i="1"/>
  <c r="Z407" i="1"/>
  <c r="AA407" i="1"/>
  <c r="B408" i="1"/>
  <c r="E408" i="1"/>
  <c r="K408" i="1"/>
  <c r="L408" i="1"/>
  <c r="M408" i="1"/>
  <c r="N408" i="1"/>
  <c r="T408" i="1"/>
  <c r="U408" i="1"/>
  <c r="Z408" i="1"/>
  <c r="AA408" i="1"/>
  <c r="B409" i="1"/>
  <c r="E409" i="1"/>
  <c r="K409" i="1"/>
  <c r="L409" i="1"/>
  <c r="M409" i="1"/>
  <c r="N409" i="1"/>
  <c r="T409" i="1"/>
  <c r="U409" i="1"/>
  <c r="Z409" i="1"/>
  <c r="AA409" i="1"/>
  <c r="B410" i="1"/>
  <c r="E410" i="1"/>
  <c r="K410" i="1"/>
  <c r="L410" i="1"/>
  <c r="M410" i="1"/>
  <c r="N410" i="1"/>
  <c r="T410" i="1"/>
  <c r="U410" i="1"/>
  <c r="Z410" i="1"/>
  <c r="AA410" i="1"/>
  <c r="B411" i="1"/>
  <c r="E411" i="1"/>
  <c r="K411" i="1"/>
  <c r="L411" i="1"/>
  <c r="M411" i="1"/>
  <c r="N411" i="1"/>
  <c r="T411" i="1"/>
  <c r="U411" i="1"/>
  <c r="Z411" i="1"/>
  <c r="AA411" i="1"/>
  <c r="B412" i="1"/>
  <c r="E412" i="1"/>
  <c r="K412" i="1"/>
  <c r="L412" i="1"/>
  <c r="M412" i="1"/>
  <c r="N412" i="1"/>
  <c r="T412" i="1"/>
  <c r="U412" i="1"/>
  <c r="Z412" i="1"/>
  <c r="AA412" i="1"/>
  <c r="B413" i="1"/>
  <c r="E413" i="1"/>
  <c r="K413" i="1"/>
  <c r="L413" i="1"/>
  <c r="M413" i="1"/>
  <c r="N413" i="1"/>
  <c r="T413" i="1"/>
  <c r="U413" i="1"/>
  <c r="Z413" i="1"/>
  <c r="AA413" i="1"/>
  <c r="B414" i="1"/>
  <c r="E414" i="1"/>
  <c r="K414" i="1"/>
  <c r="L414" i="1"/>
  <c r="M414" i="1"/>
  <c r="N414" i="1"/>
  <c r="T414" i="1"/>
  <c r="U414" i="1"/>
  <c r="Z414" i="1"/>
  <c r="AA414" i="1"/>
  <c r="B415" i="1"/>
  <c r="E415" i="1"/>
  <c r="K415" i="1"/>
  <c r="L415" i="1"/>
  <c r="M415" i="1"/>
  <c r="N415" i="1"/>
  <c r="T415" i="1"/>
  <c r="U415" i="1"/>
  <c r="Z415" i="1"/>
  <c r="AA415" i="1"/>
  <c r="B416" i="1"/>
  <c r="E416" i="1"/>
  <c r="K416" i="1"/>
  <c r="L416" i="1"/>
  <c r="M416" i="1"/>
  <c r="N416" i="1"/>
  <c r="T416" i="1"/>
  <c r="U416" i="1"/>
  <c r="Z416" i="1"/>
  <c r="AA416" i="1"/>
  <c r="B417" i="1"/>
  <c r="E417" i="1"/>
  <c r="K417" i="1"/>
  <c r="L417" i="1"/>
  <c r="M417" i="1"/>
  <c r="N417" i="1"/>
  <c r="T417" i="1"/>
  <c r="U417" i="1"/>
  <c r="Z417" i="1"/>
  <c r="AA417" i="1"/>
  <c r="B418" i="1"/>
  <c r="E418" i="1"/>
  <c r="K418" i="1"/>
  <c r="L418" i="1"/>
  <c r="M418" i="1"/>
  <c r="N418" i="1"/>
  <c r="T418" i="1"/>
  <c r="U418" i="1"/>
  <c r="Z418" i="1"/>
  <c r="AA418" i="1"/>
  <c r="B419" i="1"/>
  <c r="E419" i="1"/>
  <c r="K419" i="1"/>
  <c r="L419" i="1"/>
  <c r="M419" i="1"/>
  <c r="N419" i="1"/>
  <c r="T419" i="1"/>
  <c r="U419" i="1"/>
  <c r="Z419" i="1"/>
  <c r="AA419" i="1"/>
  <c r="B420" i="1"/>
  <c r="E420" i="1"/>
  <c r="K420" i="1"/>
  <c r="L420" i="1"/>
  <c r="M420" i="1"/>
  <c r="N420" i="1"/>
  <c r="T420" i="1"/>
  <c r="U420" i="1"/>
  <c r="Z420" i="1"/>
  <c r="AA420" i="1"/>
  <c r="B421" i="1"/>
  <c r="E421" i="1"/>
  <c r="K421" i="1"/>
  <c r="L421" i="1"/>
  <c r="M421" i="1"/>
  <c r="N421" i="1"/>
  <c r="T421" i="1"/>
  <c r="U421" i="1"/>
  <c r="Z421" i="1"/>
  <c r="AA421" i="1"/>
  <c r="B422" i="1"/>
  <c r="E422" i="1"/>
  <c r="K422" i="1"/>
  <c r="L422" i="1"/>
  <c r="M422" i="1"/>
  <c r="N422" i="1"/>
  <c r="T422" i="1"/>
  <c r="U422" i="1"/>
  <c r="Z422" i="1"/>
  <c r="AA422" i="1"/>
  <c r="B423" i="1"/>
  <c r="E423" i="1"/>
  <c r="K423" i="1"/>
  <c r="L423" i="1"/>
  <c r="M423" i="1"/>
  <c r="N423" i="1"/>
  <c r="T423" i="1"/>
  <c r="U423" i="1"/>
  <c r="Z423" i="1"/>
  <c r="AA423" i="1"/>
  <c r="B424" i="1"/>
  <c r="E424" i="1"/>
  <c r="K424" i="1"/>
  <c r="L424" i="1"/>
  <c r="M424" i="1"/>
  <c r="N424" i="1"/>
  <c r="T424" i="1"/>
  <c r="U424" i="1"/>
  <c r="Z424" i="1"/>
  <c r="AA424" i="1"/>
  <c r="B425" i="1"/>
  <c r="E425" i="1"/>
  <c r="K425" i="1"/>
  <c r="L425" i="1"/>
  <c r="M425" i="1"/>
  <c r="N425" i="1"/>
  <c r="T425" i="1"/>
  <c r="U425" i="1"/>
  <c r="Z425" i="1"/>
  <c r="AA425" i="1"/>
  <c r="B426" i="1"/>
  <c r="E426" i="1"/>
  <c r="K426" i="1"/>
  <c r="L426" i="1"/>
  <c r="M426" i="1"/>
  <c r="N426" i="1"/>
  <c r="T426" i="1"/>
  <c r="U426" i="1"/>
  <c r="Z426" i="1"/>
  <c r="AA426" i="1"/>
  <c r="B427" i="1"/>
  <c r="E427" i="1"/>
  <c r="K427" i="1"/>
  <c r="L427" i="1"/>
  <c r="M427" i="1"/>
  <c r="N427" i="1"/>
  <c r="T427" i="1"/>
  <c r="U427" i="1"/>
  <c r="Z427" i="1"/>
  <c r="AA427" i="1"/>
  <c r="B428" i="1"/>
  <c r="E428" i="1"/>
  <c r="K428" i="1"/>
  <c r="L428" i="1"/>
  <c r="M428" i="1"/>
  <c r="N428" i="1"/>
  <c r="T428" i="1"/>
  <c r="U428" i="1"/>
  <c r="Z428" i="1"/>
  <c r="AA428" i="1"/>
  <c r="B429" i="1"/>
  <c r="E429" i="1"/>
  <c r="K429" i="1"/>
  <c r="L429" i="1"/>
  <c r="M429" i="1"/>
  <c r="N429" i="1"/>
  <c r="T429" i="1"/>
  <c r="U429" i="1"/>
  <c r="Z429" i="1"/>
  <c r="AA429" i="1"/>
  <c r="B430" i="1"/>
  <c r="E430" i="1"/>
  <c r="K430" i="1"/>
  <c r="L430" i="1"/>
  <c r="M430" i="1"/>
  <c r="N430" i="1"/>
  <c r="T430" i="1"/>
  <c r="U430" i="1"/>
  <c r="Z430" i="1"/>
  <c r="AA430" i="1"/>
  <c r="B431" i="1"/>
  <c r="E431" i="1"/>
  <c r="K431" i="1"/>
  <c r="L431" i="1"/>
  <c r="M431" i="1"/>
  <c r="N431" i="1"/>
  <c r="T431" i="1"/>
  <c r="U431" i="1"/>
  <c r="Z431" i="1"/>
  <c r="AA431" i="1"/>
  <c r="B432" i="1"/>
  <c r="E432" i="1"/>
  <c r="K432" i="1"/>
  <c r="L432" i="1"/>
  <c r="M432" i="1"/>
  <c r="N432" i="1"/>
  <c r="T432" i="1"/>
  <c r="U432" i="1"/>
  <c r="Z432" i="1"/>
  <c r="AA432" i="1"/>
  <c r="B433" i="1"/>
  <c r="E433" i="1"/>
  <c r="K433" i="1"/>
  <c r="L433" i="1"/>
  <c r="M433" i="1"/>
  <c r="N433" i="1"/>
  <c r="T433" i="1"/>
  <c r="U433" i="1"/>
  <c r="Z433" i="1"/>
  <c r="AA433" i="1"/>
  <c r="B434" i="1"/>
  <c r="E434" i="1"/>
  <c r="K434" i="1"/>
  <c r="L434" i="1"/>
  <c r="M434" i="1"/>
  <c r="N434" i="1"/>
  <c r="T434" i="1"/>
  <c r="U434" i="1"/>
  <c r="Z434" i="1"/>
  <c r="AA434" i="1"/>
  <c r="B435" i="1"/>
  <c r="E435" i="1"/>
  <c r="K435" i="1"/>
  <c r="L435" i="1"/>
  <c r="M435" i="1"/>
  <c r="N435" i="1"/>
  <c r="T435" i="1"/>
  <c r="U435" i="1"/>
  <c r="Z435" i="1"/>
  <c r="AA435" i="1"/>
  <c r="B436" i="1"/>
  <c r="E436" i="1"/>
  <c r="K436" i="1"/>
  <c r="L436" i="1"/>
  <c r="M436" i="1"/>
  <c r="N436" i="1"/>
  <c r="T436" i="1"/>
  <c r="U436" i="1"/>
  <c r="Z436" i="1"/>
  <c r="AA436" i="1"/>
  <c r="B437" i="1"/>
  <c r="E437" i="1"/>
  <c r="K437" i="1"/>
  <c r="L437" i="1"/>
  <c r="M437" i="1"/>
  <c r="N437" i="1"/>
  <c r="T437" i="1"/>
  <c r="U437" i="1"/>
  <c r="Z437" i="1"/>
  <c r="AA437" i="1"/>
  <c r="B438" i="1"/>
  <c r="E438" i="1"/>
  <c r="K438" i="1"/>
  <c r="L438" i="1"/>
  <c r="M438" i="1"/>
  <c r="N438" i="1"/>
  <c r="T438" i="1"/>
  <c r="U438" i="1"/>
  <c r="Z438" i="1"/>
  <c r="AA438" i="1"/>
  <c r="B439" i="1"/>
  <c r="E439" i="1"/>
  <c r="K439" i="1"/>
  <c r="L439" i="1"/>
  <c r="M439" i="1"/>
  <c r="N439" i="1"/>
  <c r="T439" i="1"/>
  <c r="U439" i="1"/>
  <c r="Z439" i="1"/>
  <c r="AA439" i="1"/>
  <c r="B440" i="1"/>
  <c r="E440" i="1"/>
  <c r="K440" i="1"/>
  <c r="L440" i="1"/>
  <c r="M440" i="1"/>
  <c r="N440" i="1"/>
  <c r="T440" i="1"/>
  <c r="U440" i="1"/>
  <c r="Z440" i="1"/>
  <c r="AA440" i="1"/>
  <c r="B441" i="1"/>
  <c r="E441" i="1"/>
  <c r="K441" i="1"/>
  <c r="L441" i="1"/>
  <c r="M441" i="1"/>
  <c r="N441" i="1"/>
  <c r="T441" i="1"/>
  <c r="U441" i="1"/>
  <c r="Z441" i="1"/>
  <c r="AA441" i="1"/>
  <c r="B442" i="1"/>
  <c r="E442" i="1"/>
  <c r="K442" i="1"/>
  <c r="L442" i="1"/>
  <c r="M442" i="1"/>
  <c r="N442" i="1"/>
  <c r="T442" i="1"/>
  <c r="U442" i="1"/>
  <c r="Z442" i="1"/>
  <c r="AA442" i="1"/>
  <c r="B443" i="1"/>
  <c r="E443" i="1"/>
  <c r="K443" i="1"/>
  <c r="L443" i="1"/>
  <c r="M443" i="1"/>
  <c r="N443" i="1"/>
  <c r="T443" i="1"/>
  <c r="U443" i="1"/>
  <c r="Z443" i="1"/>
  <c r="AA443" i="1"/>
  <c r="B444" i="1"/>
  <c r="E444" i="1"/>
  <c r="K444" i="1"/>
  <c r="L444" i="1"/>
  <c r="M444" i="1"/>
  <c r="N444" i="1"/>
  <c r="T444" i="1"/>
  <c r="U444" i="1"/>
  <c r="Z444" i="1"/>
  <c r="AA444" i="1"/>
  <c r="B445" i="1"/>
  <c r="E445" i="1"/>
  <c r="K445" i="1"/>
  <c r="L445" i="1"/>
  <c r="M445" i="1"/>
  <c r="N445" i="1"/>
  <c r="T445" i="1"/>
  <c r="U445" i="1"/>
  <c r="Z445" i="1"/>
  <c r="AA445" i="1"/>
  <c r="B446" i="1"/>
  <c r="E446" i="1"/>
  <c r="K446" i="1"/>
  <c r="L446" i="1"/>
  <c r="M446" i="1"/>
  <c r="N446" i="1"/>
  <c r="T446" i="1"/>
  <c r="U446" i="1"/>
  <c r="Z446" i="1"/>
  <c r="AA446" i="1"/>
  <c r="B447" i="1"/>
  <c r="E447" i="1"/>
  <c r="K447" i="1"/>
  <c r="L447" i="1"/>
  <c r="M447" i="1"/>
  <c r="N447" i="1"/>
  <c r="T447" i="1"/>
  <c r="U447" i="1"/>
  <c r="Z447" i="1"/>
  <c r="AA447" i="1"/>
  <c r="B448" i="1"/>
  <c r="E448" i="1"/>
  <c r="K448" i="1"/>
  <c r="L448" i="1"/>
  <c r="M448" i="1"/>
  <c r="N448" i="1"/>
  <c r="T448" i="1"/>
  <c r="U448" i="1"/>
  <c r="Z448" i="1"/>
  <c r="AA448" i="1"/>
  <c r="B449" i="1"/>
  <c r="E449" i="1"/>
  <c r="K449" i="1"/>
  <c r="L449" i="1"/>
  <c r="M449" i="1"/>
  <c r="N449" i="1"/>
  <c r="T449" i="1"/>
  <c r="U449" i="1"/>
  <c r="Z449" i="1"/>
  <c r="AA449" i="1"/>
  <c r="B450" i="1"/>
  <c r="E450" i="1"/>
  <c r="K450" i="1"/>
  <c r="L450" i="1"/>
  <c r="M450" i="1"/>
  <c r="N450" i="1"/>
  <c r="T450" i="1"/>
  <c r="U450" i="1"/>
  <c r="Z450" i="1"/>
  <c r="AA450" i="1"/>
  <c r="B451" i="1"/>
  <c r="E451" i="1"/>
  <c r="K451" i="1"/>
  <c r="L451" i="1"/>
  <c r="M451" i="1"/>
  <c r="N451" i="1"/>
  <c r="T451" i="1"/>
  <c r="U451" i="1"/>
  <c r="Z451" i="1"/>
  <c r="AA451" i="1"/>
  <c r="B452" i="1"/>
  <c r="E452" i="1"/>
  <c r="K452" i="1"/>
  <c r="L452" i="1"/>
  <c r="M452" i="1"/>
  <c r="N452" i="1"/>
  <c r="T452" i="1"/>
  <c r="U452" i="1"/>
  <c r="Z452" i="1"/>
  <c r="AA452" i="1"/>
  <c r="B453" i="1"/>
  <c r="E453" i="1"/>
  <c r="K453" i="1"/>
  <c r="L453" i="1"/>
  <c r="M453" i="1"/>
  <c r="N453" i="1"/>
  <c r="T453" i="1"/>
  <c r="U453" i="1"/>
  <c r="Z453" i="1"/>
  <c r="AA453" i="1"/>
  <c r="B454" i="1"/>
  <c r="E454" i="1"/>
  <c r="K454" i="1"/>
  <c r="L454" i="1"/>
  <c r="M454" i="1"/>
  <c r="N454" i="1"/>
  <c r="T454" i="1"/>
  <c r="U454" i="1"/>
  <c r="Z454" i="1"/>
  <c r="AA454" i="1"/>
  <c r="B455" i="1"/>
  <c r="E455" i="1"/>
  <c r="K455" i="1"/>
  <c r="L455" i="1"/>
  <c r="M455" i="1"/>
  <c r="N455" i="1"/>
  <c r="T455" i="1"/>
  <c r="U455" i="1"/>
  <c r="Z455" i="1"/>
  <c r="AA455" i="1"/>
  <c r="B456" i="1"/>
  <c r="E456" i="1"/>
  <c r="K456" i="1"/>
  <c r="L456" i="1"/>
  <c r="M456" i="1"/>
  <c r="N456" i="1"/>
  <c r="T456" i="1"/>
  <c r="U456" i="1"/>
  <c r="Z456" i="1"/>
  <c r="AA456" i="1"/>
  <c r="B457" i="1"/>
  <c r="E457" i="1"/>
  <c r="K457" i="1"/>
  <c r="L457" i="1"/>
  <c r="M457" i="1"/>
  <c r="N457" i="1"/>
  <c r="T457" i="1"/>
  <c r="U457" i="1"/>
  <c r="Z457" i="1"/>
  <c r="AA457" i="1"/>
  <c r="B458" i="1"/>
  <c r="E458" i="1"/>
  <c r="K458" i="1"/>
  <c r="L458" i="1"/>
  <c r="M458" i="1"/>
  <c r="N458" i="1"/>
  <c r="T458" i="1"/>
  <c r="U458" i="1"/>
  <c r="Z458" i="1"/>
  <c r="AA458" i="1"/>
  <c r="B459" i="1"/>
  <c r="E459" i="1"/>
  <c r="K459" i="1"/>
  <c r="L459" i="1"/>
  <c r="M459" i="1"/>
  <c r="N459" i="1"/>
  <c r="T459" i="1"/>
  <c r="U459" i="1"/>
  <c r="Z459" i="1"/>
  <c r="AA459" i="1"/>
  <c r="B460" i="1"/>
  <c r="E460" i="1"/>
  <c r="K460" i="1"/>
  <c r="L460" i="1"/>
  <c r="M460" i="1"/>
  <c r="N460" i="1"/>
  <c r="T460" i="1"/>
  <c r="U460" i="1"/>
  <c r="Z460" i="1"/>
  <c r="AA460" i="1"/>
  <c r="B461" i="1"/>
  <c r="E461" i="1"/>
  <c r="K461" i="1"/>
  <c r="L461" i="1"/>
  <c r="M461" i="1"/>
  <c r="N461" i="1"/>
  <c r="T461" i="1"/>
  <c r="U461" i="1"/>
  <c r="Z461" i="1"/>
  <c r="AA461" i="1"/>
  <c r="B462" i="1"/>
  <c r="E462" i="1"/>
  <c r="K462" i="1"/>
  <c r="L462" i="1"/>
  <c r="M462" i="1"/>
  <c r="N462" i="1"/>
  <c r="T462" i="1"/>
  <c r="U462" i="1"/>
  <c r="Z462" i="1"/>
  <c r="AA462" i="1"/>
  <c r="B463" i="1"/>
  <c r="E463" i="1"/>
  <c r="K463" i="1"/>
  <c r="L463" i="1"/>
  <c r="M463" i="1"/>
  <c r="N463" i="1"/>
  <c r="T463" i="1"/>
  <c r="U463" i="1"/>
  <c r="Z463" i="1"/>
  <c r="AA463" i="1"/>
  <c r="B464" i="1"/>
  <c r="E464" i="1"/>
  <c r="K464" i="1"/>
  <c r="L464" i="1"/>
  <c r="M464" i="1"/>
  <c r="N464" i="1"/>
  <c r="T464" i="1"/>
  <c r="U464" i="1"/>
  <c r="Z464" i="1"/>
  <c r="AA464" i="1"/>
  <c r="B465" i="1"/>
  <c r="E465" i="1"/>
  <c r="K465" i="1"/>
  <c r="L465" i="1"/>
  <c r="M465" i="1"/>
  <c r="N465" i="1"/>
  <c r="T465" i="1"/>
  <c r="U465" i="1"/>
  <c r="Z465" i="1"/>
  <c r="AA465" i="1"/>
  <c r="B466" i="1"/>
  <c r="E466" i="1"/>
  <c r="K466" i="1"/>
  <c r="L466" i="1"/>
  <c r="M466" i="1"/>
  <c r="N466" i="1"/>
  <c r="T466" i="1"/>
  <c r="U466" i="1"/>
  <c r="Z466" i="1"/>
  <c r="AA466" i="1"/>
  <c r="B467" i="1"/>
  <c r="E467" i="1"/>
  <c r="K467" i="1"/>
  <c r="L467" i="1"/>
  <c r="M467" i="1"/>
  <c r="N467" i="1"/>
  <c r="T467" i="1"/>
  <c r="U467" i="1"/>
  <c r="Z467" i="1"/>
  <c r="AA467" i="1"/>
  <c r="B468" i="1"/>
  <c r="E468" i="1"/>
  <c r="K468" i="1"/>
  <c r="L468" i="1"/>
  <c r="M468" i="1"/>
  <c r="N468" i="1"/>
  <c r="T468" i="1"/>
  <c r="U468" i="1"/>
  <c r="Z468" i="1"/>
  <c r="AA468" i="1"/>
  <c r="B469" i="1"/>
  <c r="E469" i="1"/>
  <c r="K469" i="1"/>
  <c r="L469" i="1"/>
  <c r="M469" i="1"/>
  <c r="N469" i="1"/>
  <c r="T469" i="1"/>
  <c r="U469" i="1"/>
  <c r="Z469" i="1"/>
  <c r="AA469" i="1"/>
  <c r="B470" i="1"/>
  <c r="E470" i="1"/>
  <c r="K470" i="1"/>
  <c r="L470" i="1"/>
  <c r="M470" i="1"/>
  <c r="N470" i="1"/>
  <c r="T470" i="1"/>
  <c r="U470" i="1"/>
  <c r="Z470" i="1"/>
  <c r="AA470" i="1"/>
  <c r="B471" i="1"/>
  <c r="E471" i="1"/>
  <c r="K471" i="1"/>
  <c r="L471" i="1"/>
  <c r="M471" i="1"/>
  <c r="N471" i="1"/>
  <c r="T471" i="1"/>
  <c r="U471" i="1"/>
  <c r="Z471" i="1"/>
  <c r="AA471" i="1"/>
  <c r="B472" i="1"/>
  <c r="E472" i="1"/>
  <c r="K472" i="1"/>
  <c r="L472" i="1"/>
  <c r="M472" i="1"/>
  <c r="N472" i="1"/>
  <c r="T472" i="1"/>
  <c r="U472" i="1"/>
  <c r="Z472" i="1"/>
  <c r="AA472" i="1"/>
  <c r="B473" i="1"/>
  <c r="E473" i="1"/>
  <c r="K473" i="1"/>
  <c r="L473" i="1"/>
  <c r="M473" i="1"/>
  <c r="N473" i="1"/>
  <c r="T473" i="1"/>
  <c r="U473" i="1"/>
  <c r="Z473" i="1"/>
  <c r="AA473" i="1"/>
  <c r="B474" i="1"/>
  <c r="E474" i="1"/>
  <c r="K474" i="1"/>
  <c r="L474" i="1"/>
  <c r="M474" i="1"/>
  <c r="N474" i="1"/>
  <c r="T474" i="1"/>
  <c r="U474" i="1"/>
  <c r="Z474" i="1"/>
  <c r="AA474" i="1"/>
  <c r="B475" i="1"/>
  <c r="E475" i="1"/>
  <c r="K475" i="1"/>
  <c r="L475" i="1"/>
  <c r="M475" i="1"/>
  <c r="N475" i="1"/>
  <c r="T475" i="1"/>
  <c r="U475" i="1"/>
  <c r="Z475" i="1"/>
  <c r="AA475" i="1"/>
  <c r="B476" i="1"/>
  <c r="E476" i="1"/>
  <c r="K476" i="1"/>
  <c r="L476" i="1"/>
  <c r="M476" i="1"/>
  <c r="N476" i="1"/>
  <c r="T476" i="1"/>
  <c r="U476" i="1"/>
  <c r="Z476" i="1"/>
  <c r="AA476" i="1"/>
  <c r="B477" i="1"/>
  <c r="E477" i="1"/>
  <c r="K477" i="1"/>
  <c r="L477" i="1"/>
  <c r="M477" i="1"/>
  <c r="N477" i="1"/>
  <c r="T477" i="1"/>
  <c r="U477" i="1"/>
  <c r="Z477" i="1"/>
  <c r="AA477" i="1"/>
  <c r="B478" i="1"/>
  <c r="E478" i="1"/>
  <c r="K478" i="1"/>
  <c r="L478" i="1"/>
  <c r="M478" i="1"/>
  <c r="N478" i="1"/>
  <c r="T478" i="1"/>
  <c r="U478" i="1"/>
  <c r="Z478" i="1"/>
  <c r="AA478" i="1"/>
  <c r="B479" i="1"/>
  <c r="E479" i="1"/>
  <c r="K479" i="1"/>
  <c r="L479" i="1"/>
  <c r="M479" i="1"/>
  <c r="N479" i="1"/>
  <c r="T479" i="1"/>
  <c r="U479" i="1"/>
  <c r="Z479" i="1"/>
  <c r="AA479" i="1"/>
  <c r="B480" i="1"/>
  <c r="E480" i="1"/>
  <c r="K480" i="1"/>
  <c r="L480" i="1"/>
  <c r="M480" i="1"/>
  <c r="N480" i="1"/>
  <c r="T480" i="1"/>
  <c r="U480" i="1"/>
  <c r="Z480" i="1"/>
  <c r="AA480" i="1"/>
  <c r="B481" i="1"/>
  <c r="E481" i="1"/>
  <c r="K481" i="1"/>
  <c r="L481" i="1"/>
  <c r="M481" i="1"/>
  <c r="N481" i="1"/>
  <c r="T481" i="1"/>
  <c r="U481" i="1"/>
  <c r="Z481" i="1"/>
  <c r="AA481" i="1"/>
  <c r="B482" i="1"/>
  <c r="E482" i="1"/>
  <c r="K482" i="1"/>
  <c r="L482" i="1"/>
  <c r="M482" i="1"/>
  <c r="N482" i="1"/>
  <c r="T482" i="1"/>
  <c r="U482" i="1"/>
  <c r="Z482" i="1"/>
  <c r="AA482" i="1"/>
  <c r="B483" i="1"/>
  <c r="E483" i="1"/>
  <c r="K483" i="1"/>
  <c r="L483" i="1"/>
  <c r="M483" i="1"/>
  <c r="N483" i="1"/>
  <c r="T483" i="1"/>
  <c r="U483" i="1"/>
  <c r="Z483" i="1"/>
  <c r="AA483" i="1"/>
  <c r="B484" i="1"/>
  <c r="E484" i="1"/>
  <c r="K484" i="1"/>
  <c r="L484" i="1"/>
  <c r="M484" i="1"/>
  <c r="N484" i="1"/>
  <c r="T484" i="1"/>
  <c r="U484" i="1"/>
  <c r="Z484" i="1"/>
  <c r="AA484" i="1"/>
  <c r="B485" i="1"/>
  <c r="E485" i="1"/>
  <c r="K485" i="1"/>
  <c r="L485" i="1"/>
  <c r="M485" i="1"/>
  <c r="N485" i="1"/>
  <c r="T485" i="1"/>
  <c r="U485" i="1"/>
  <c r="Z485" i="1"/>
  <c r="AA485" i="1"/>
  <c r="B486" i="1"/>
  <c r="E486" i="1"/>
  <c r="K486" i="1"/>
  <c r="L486" i="1"/>
  <c r="M486" i="1"/>
  <c r="N486" i="1"/>
  <c r="T486" i="1"/>
  <c r="U486" i="1"/>
  <c r="Z486" i="1"/>
  <c r="AA486" i="1"/>
  <c r="B487" i="1"/>
  <c r="E487" i="1"/>
  <c r="K487" i="1"/>
  <c r="L487" i="1"/>
  <c r="M487" i="1"/>
  <c r="N487" i="1"/>
  <c r="T487" i="1"/>
  <c r="U487" i="1"/>
  <c r="Z487" i="1"/>
  <c r="AA487" i="1"/>
  <c r="B488" i="1"/>
  <c r="E488" i="1"/>
  <c r="K488" i="1"/>
  <c r="L488" i="1"/>
  <c r="M488" i="1"/>
  <c r="N488" i="1"/>
  <c r="T488" i="1"/>
  <c r="U488" i="1"/>
  <c r="Z488" i="1"/>
  <c r="AA488" i="1"/>
  <c r="B489" i="1"/>
  <c r="E489" i="1"/>
  <c r="K489" i="1"/>
  <c r="L489" i="1"/>
  <c r="M489" i="1"/>
  <c r="N489" i="1"/>
  <c r="T489" i="1"/>
  <c r="U489" i="1"/>
  <c r="Z489" i="1"/>
  <c r="AA489" i="1"/>
  <c r="B490" i="1"/>
  <c r="E490" i="1"/>
  <c r="K490" i="1"/>
  <c r="L490" i="1"/>
  <c r="M490" i="1"/>
  <c r="N490" i="1"/>
  <c r="T490" i="1"/>
  <c r="U490" i="1"/>
  <c r="Z490" i="1"/>
  <c r="AA490" i="1"/>
  <c r="B491" i="1"/>
  <c r="E491" i="1"/>
  <c r="K491" i="1"/>
  <c r="L491" i="1"/>
  <c r="M491" i="1"/>
  <c r="N491" i="1"/>
  <c r="T491" i="1"/>
  <c r="U491" i="1"/>
  <c r="Z491" i="1"/>
  <c r="AA491" i="1"/>
  <c r="B492" i="1"/>
  <c r="E492" i="1"/>
  <c r="K492" i="1"/>
  <c r="L492" i="1"/>
  <c r="M492" i="1"/>
  <c r="N492" i="1"/>
  <c r="T492" i="1"/>
  <c r="U492" i="1"/>
  <c r="Z492" i="1"/>
  <c r="AA492" i="1"/>
  <c r="B493" i="1"/>
  <c r="E493" i="1"/>
  <c r="K493" i="1"/>
  <c r="L493" i="1"/>
  <c r="M493" i="1"/>
  <c r="N493" i="1"/>
  <c r="T493" i="1"/>
  <c r="U493" i="1"/>
  <c r="Z493" i="1"/>
  <c r="AA493" i="1"/>
  <c r="B494" i="1"/>
  <c r="E494" i="1"/>
  <c r="K494" i="1"/>
  <c r="L494" i="1"/>
  <c r="M494" i="1"/>
  <c r="N494" i="1"/>
  <c r="T494" i="1"/>
  <c r="U494" i="1"/>
  <c r="Z494" i="1"/>
  <c r="AA494" i="1"/>
  <c r="B495" i="1"/>
  <c r="E495" i="1"/>
  <c r="K495" i="1"/>
  <c r="L495" i="1"/>
  <c r="M495" i="1"/>
  <c r="N495" i="1"/>
  <c r="T495" i="1"/>
  <c r="U495" i="1"/>
  <c r="Z495" i="1"/>
  <c r="AA495" i="1"/>
  <c r="B496" i="1"/>
  <c r="E496" i="1"/>
  <c r="K496" i="1"/>
  <c r="L496" i="1"/>
  <c r="M496" i="1"/>
  <c r="N496" i="1"/>
  <c r="T496" i="1"/>
  <c r="U496" i="1"/>
  <c r="Z496" i="1"/>
  <c r="AA496" i="1"/>
  <c r="B497" i="1"/>
  <c r="E497" i="1"/>
  <c r="K497" i="1"/>
  <c r="L497" i="1"/>
  <c r="M497" i="1"/>
  <c r="N497" i="1"/>
  <c r="T497" i="1"/>
  <c r="U497" i="1"/>
  <c r="Z497" i="1"/>
  <c r="AA497" i="1"/>
  <c r="B498" i="1"/>
  <c r="E498" i="1"/>
  <c r="K498" i="1"/>
  <c r="L498" i="1"/>
  <c r="M498" i="1"/>
  <c r="N498" i="1"/>
  <c r="T498" i="1"/>
  <c r="U498" i="1"/>
  <c r="Z498" i="1"/>
  <c r="AA498" i="1"/>
  <c r="B499" i="1"/>
  <c r="E499" i="1"/>
  <c r="K499" i="1"/>
  <c r="L499" i="1"/>
  <c r="M499" i="1"/>
  <c r="N499" i="1"/>
  <c r="T499" i="1"/>
  <c r="U499" i="1"/>
  <c r="Z499" i="1"/>
  <c r="AA499" i="1"/>
  <c r="B500" i="1"/>
  <c r="E500" i="1"/>
  <c r="K500" i="1"/>
  <c r="L500" i="1"/>
  <c r="M500" i="1"/>
  <c r="N500" i="1"/>
  <c r="T500" i="1"/>
  <c r="U500" i="1"/>
  <c r="Z500" i="1"/>
  <c r="AA500" i="1"/>
  <c r="B501" i="1"/>
  <c r="E501" i="1"/>
  <c r="K501" i="1"/>
  <c r="L501" i="1"/>
  <c r="M501" i="1"/>
  <c r="N501" i="1"/>
  <c r="T501" i="1"/>
  <c r="U501" i="1"/>
  <c r="Z501" i="1"/>
  <c r="AA501" i="1"/>
  <c r="B502" i="1"/>
  <c r="E502" i="1"/>
  <c r="K502" i="1"/>
  <c r="L502" i="1"/>
  <c r="M502" i="1"/>
  <c r="N502" i="1"/>
  <c r="T502" i="1"/>
  <c r="U502" i="1"/>
  <c r="Z502" i="1"/>
  <c r="AA502" i="1"/>
  <c r="B503" i="1"/>
  <c r="E503" i="1"/>
  <c r="K503" i="1"/>
  <c r="L503" i="1"/>
  <c r="M503" i="1"/>
  <c r="N503" i="1"/>
  <c r="T503" i="1"/>
  <c r="U503" i="1"/>
  <c r="Z503" i="1"/>
  <c r="AA503" i="1"/>
  <c r="B504" i="1"/>
  <c r="E504" i="1"/>
  <c r="K504" i="1"/>
  <c r="L504" i="1"/>
  <c r="M504" i="1"/>
  <c r="N504" i="1"/>
  <c r="T504" i="1"/>
  <c r="U504" i="1"/>
  <c r="Z504" i="1"/>
  <c r="AA504" i="1"/>
  <c r="B505" i="1"/>
  <c r="E505" i="1"/>
  <c r="K505" i="1"/>
  <c r="L505" i="1"/>
  <c r="M505" i="1"/>
  <c r="N505" i="1"/>
  <c r="T505" i="1"/>
  <c r="U505" i="1"/>
  <c r="Z505" i="1"/>
  <c r="AA505" i="1"/>
  <c r="B506" i="1"/>
  <c r="E506" i="1"/>
  <c r="K506" i="1"/>
  <c r="L506" i="1"/>
  <c r="M506" i="1"/>
  <c r="N506" i="1"/>
  <c r="T506" i="1"/>
  <c r="U506" i="1"/>
  <c r="Z506" i="1"/>
  <c r="AA506" i="1"/>
  <c r="B507" i="1"/>
  <c r="E507" i="1"/>
  <c r="K507" i="1"/>
  <c r="L507" i="1"/>
  <c r="M507" i="1"/>
  <c r="N507" i="1"/>
  <c r="T507" i="1"/>
  <c r="U507" i="1"/>
  <c r="Z507" i="1"/>
  <c r="AA507" i="1"/>
  <c r="B508" i="1"/>
  <c r="E508" i="1"/>
  <c r="K508" i="1"/>
  <c r="L508" i="1"/>
  <c r="M508" i="1"/>
  <c r="N508" i="1"/>
  <c r="T508" i="1"/>
  <c r="U508" i="1"/>
  <c r="Z508" i="1"/>
  <c r="AA508" i="1"/>
  <c r="B509" i="1"/>
  <c r="E509" i="1"/>
  <c r="K509" i="1"/>
  <c r="L509" i="1"/>
  <c r="M509" i="1"/>
  <c r="N509" i="1"/>
  <c r="T509" i="1"/>
  <c r="U509" i="1"/>
  <c r="Z509" i="1"/>
  <c r="AA509" i="1"/>
  <c r="B510" i="1"/>
  <c r="E510" i="1"/>
  <c r="K510" i="1"/>
  <c r="L510" i="1"/>
  <c r="M510" i="1"/>
  <c r="N510" i="1"/>
  <c r="T510" i="1"/>
  <c r="U510" i="1"/>
  <c r="Z510" i="1"/>
  <c r="AA510" i="1"/>
  <c r="B511" i="1"/>
  <c r="E511" i="1"/>
  <c r="K511" i="1"/>
  <c r="L511" i="1"/>
  <c r="M511" i="1"/>
  <c r="N511" i="1"/>
  <c r="T511" i="1"/>
  <c r="U511" i="1"/>
  <c r="Z511" i="1"/>
  <c r="AA511" i="1"/>
  <c r="B512" i="1"/>
  <c r="E512" i="1"/>
  <c r="K512" i="1"/>
  <c r="L512" i="1"/>
  <c r="M512" i="1"/>
  <c r="N512" i="1"/>
  <c r="T512" i="1"/>
  <c r="U512" i="1"/>
  <c r="Z512" i="1"/>
  <c r="AA512" i="1"/>
  <c r="B513" i="1"/>
  <c r="E513" i="1"/>
  <c r="K513" i="1"/>
  <c r="L513" i="1"/>
  <c r="M513" i="1"/>
  <c r="N513" i="1"/>
  <c r="T513" i="1"/>
  <c r="U513" i="1"/>
  <c r="Z513" i="1"/>
  <c r="AA513" i="1"/>
  <c r="B514" i="1"/>
  <c r="E514" i="1"/>
  <c r="K514" i="1"/>
  <c r="L514" i="1"/>
  <c r="M514" i="1"/>
  <c r="N514" i="1"/>
  <c r="T514" i="1"/>
  <c r="U514" i="1"/>
  <c r="Z514" i="1"/>
  <c r="AA514" i="1"/>
  <c r="B515" i="1"/>
  <c r="E515" i="1"/>
  <c r="K515" i="1"/>
  <c r="L515" i="1"/>
  <c r="M515" i="1"/>
  <c r="N515" i="1"/>
  <c r="T515" i="1"/>
  <c r="U515" i="1"/>
  <c r="Z515" i="1"/>
  <c r="AA515" i="1"/>
  <c r="B516" i="1"/>
  <c r="E516" i="1"/>
  <c r="K516" i="1"/>
  <c r="L516" i="1"/>
  <c r="M516" i="1"/>
  <c r="N516" i="1"/>
  <c r="T516" i="1"/>
  <c r="U516" i="1"/>
  <c r="Z516" i="1"/>
  <c r="AA516" i="1"/>
  <c r="B517" i="1"/>
  <c r="E517" i="1"/>
  <c r="K517" i="1"/>
  <c r="L517" i="1"/>
  <c r="M517" i="1"/>
  <c r="N517" i="1"/>
  <c r="T517" i="1"/>
  <c r="U517" i="1"/>
  <c r="Z517" i="1"/>
  <c r="AA517" i="1"/>
  <c r="B518" i="1"/>
  <c r="E518" i="1"/>
  <c r="K518" i="1"/>
  <c r="L518" i="1"/>
  <c r="M518" i="1"/>
  <c r="N518" i="1"/>
  <c r="T518" i="1"/>
  <c r="U518" i="1"/>
  <c r="Z518" i="1"/>
  <c r="AA518" i="1"/>
  <c r="B519" i="1"/>
  <c r="E519" i="1"/>
  <c r="K519" i="1"/>
  <c r="L519" i="1"/>
  <c r="M519" i="1"/>
  <c r="N519" i="1"/>
  <c r="T519" i="1"/>
  <c r="U519" i="1"/>
  <c r="Z519" i="1"/>
  <c r="AA519" i="1"/>
  <c r="B520" i="1"/>
  <c r="E520" i="1"/>
  <c r="K520" i="1"/>
  <c r="L520" i="1"/>
  <c r="M520" i="1"/>
  <c r="N520" i="1"/>
  <c r="T520" i="1"/>
  <c r="U520" i="1"/>
  <c r="Z520" i="1"/>
  <c r="AA520" i="1"/>
  <c r="B521" i="1"/>
  <c r="E521" i="1"/>
  <c r="K521" i="1"/>
  <c r="L521" i="1"/>
  <c r="M521" i="1"/>
  <c r="N521" i="1"/>
  <c r="T521" i="1"/>
  <c r="U521" i="1"/>
  <c r="Z521" i="1"/>
  <c r="AA521" i="1"/>
  <c r="B522" i="1"/>
  <c r="E522" i="1"/>
  <c r="K522" i="1"/>
  <c r="L522" i="1"/>
  <c r="M522" i="1"/>
  <c r="N522" i="1"/>
  <c r="T522" i="1"/>
  <c r="U522" i="1"/>
  <c r="Z522" i="1"/>
  <c r="AA522" i="1"/>
  <c r="B523" i="1"/>
  <c r="E523" i="1"/>
  <c r="K523" i="1"/>
  <c r="L523" i="1"/>
  <c r="M523" i="1"/>
  <c r="N523" i="1"/>
  <c r="T523" i="1"/>
  <c r="U523" i="1"/>
  <c r="Z523" i="1"/>
  <c r="AA523" i="1"/>
  <c r="B524" i="1"/>
  <c r="E524" i="1"/>
  <c r="K524" i="1"/>
  <c r="L524" i="1"/>
  <c r="M524" i="1"/>
  <c r="N524" i="1"/>
  <c r="T524" i="1"/>
  <c r="U524" i="1"/>
  <c r="Z524" i="1"/>
  <c r="AA524" i="1"/>
  <c r="B525" i="1"/>
  <c r="E525" i="1"/>
  <c r="K525" i="1"/>
  <c r="L525" i="1"/>
  <c r="M525" i="1"/>
  <c r="N525" i="1"/>
  <c r="T525" i="1"/>
  <c r="U525" i="1"/>
  <c r="Z525" i="1"/>
  <c r="AA525" i="1"/>
  <c r="B526" i="1"/>
  <c r="E526" i="1"/>
  <c r="K526" i="1"/>
  <c r="L526" i="1"/>
  <c r="M526" i="1"/>
  <c r="N526" i="1"/>
  <c r="T526" i="1"/>
  <c r="U526" i="1"/>
  <c r="Z526" i="1"/>
  <c r="AA526" i="1"/>
  <c r="B527" i="1"/>
  <c r="E527" i="1"/>
  <c r="K527" i="1"/>
  <c r="L527" i="1"/>
  <c r="M527" i="1"/>
  <c r="N527" i="1"/>
  <c r="T527" i="1"/>
  <c r="U527" i="1"/>
  <c r="Z527" i="1"/>
  <c r="AA527" i="1"/>
  <c r="B528" i="1"/>
  <c r="E528" i="1"/>
  <c r="K528" i="1"/>
  <c r="L528" i="1"/>
  <c r="M528" i="1"/>
  <c r="N528" i="1"/>
  <c r="T528" i="1"/>
  <c r="U528" i="1"/>
  <c r="Z528" i="1"/>
  <c r="AA528" i="1"/>
  <c r="B529" i="1"/>
  <c r="E529" i="1"/>
  <c r="K529" i="1"/>
  <c r="L529" i="1"/>
  <c r="M529" i="1"/>
  <c r="N529" i="1"/>
  <c r="T529" i="1"/>
  <c r="U529" i="1"/>
  <c r="Z529" i="1"/>
  <c r="AA529" i="1"/>
  <c r="B530" i="1"/>
  <c r="E530" i="1"/>
  <c r="K530" i="1"/>
  <c r="L530" i="1"/>
  <c r="M530" i="1"/>
  <c r="N530" i="1"/>
  <c r="T530" i="1"/>
  <c r="U530" i="1"/>
  <c r="Z530" i="1"/>
  <c r="AA530" i="1"/>
  <c r="B531" i="1"/>
  <c r="E531" i="1"/>
  <c r="K531" i="1"/>
  <c r="L531" i="1"/>
  <c r="M531" i="1"/>
  <c r="N531" i="1"/>
  <c r="T531" i="1"/>
  <c r="U531" i="1"/>
  <c r="Z531" i="1"/>
  <c r="AA531" i="1"/>
  <c r="B532" i="1"/>
  <c r="E532" i="1"/>
  <c r="K532" i="1"/>
  <c r="L532" i="1"/>
  <c r="M532" i="1"/>
  <c r="N532" i="1"/>
  <c r="T532" i="1"/>
  <c r="U532" i="1"/>
  <c r="Z532" i="1"/>
  <c r="AA532" i="1"/>
  <c r="B533" i="1"/>
  <c r="E533" i="1"/>
  <c r="K533" i="1"/>
  <c r="L533" i="1"/>
  <c r="M533" i="1"/>
  <c r="N533" i="1"/>
  <c r="T533" i="1"/>
  <c r="U533" i="1"/>
  <c r="Z533" i="1"/>
  <c r="AA533" i="1"/>
  <c r="B534" i="1"/>
  <c r="E534" i="1"/>
  <c r="K534" i="1"/>
  <c r="L534" i="1"/>
  <c r="M534" i="1"/>
  <c r="N534" i="1"/>
  <c r="T534" i="1"/>
  <c r="U534" i="1"/>
  <c r="Z534" i="1"/>
  <c r="AA534" i="1"/>
  <c r="B535" i="1"/>
  <c r="E535" i="1"/>
  <c r="K535" i="1"/>
  <c r="L535" i="1"/>
  <c r="M535" i="1"/>
  <c r="N535" i="1"/>
  <c r="T535" i="1"/>
  <c r="U535" i="1"/>
  <c r="Z535" i="1"/>
  <c r="AA535" i="1"/>
  <c r="B536" i="1"/>
  <c r="E536" i="1"/>
  <c r="K536" i="1"/>
  <c r="L536" i="1"/>
  <c r="M536" i="1"/>
  <c r="N536" i="1"/>
  <c r="T536" i="1"/>
  <c r="U536" i="1"/>
  <c r="Z536" i="1"/>
  <c r="AA536" i="1"/>
  <c r="B537" i="1"/>
  <c r="E537" i="1"/>
  <c r="K537" i="1"/>
  <c r="L537" i="1"/>
  <c r="M537" i="1"/>
  <c r="N537" i="1"/>
  <c r="T537" i="1"/>
  <c r="U537" i="1"/>
  <c r="Z537" i="1"/>
  <c r="AA537" i="1"/>
  <c r="B538" i="1"/>
  <c r="E538" i="1"/>
  <c r="K538" i="1"/>
  <c r="L538" i="1"/>
  <c r="M538" i="1"/>
  <c r="N538" i="1"/>
  <c r="T538" i="1"/>
  <c r="U538" i="1"/>
  <c r="Z538" i="1"/>
  <c r="AA538" i="1"/>
  <c r="B539" i="1"/>
  <c r="E539" i="1"/>
  <c r="K539" i="1"/>
  <c r="L539" i="1"/>
  <c r="M539" i="1"/>
  <c r="N539" i="1"/>
  <c r="T539" i="1"/>
  <c r="U539" i="1"/>
  <c r="Z539" i="1"/>
  <c r="AA539" i="1"/>
  <c r="B540" i="1"/>
  <c r="E540" i="1"/>
  <c r="K540" i="1"/>
  <c r="L540" i="1"/>
  <c r="M540" i="1"/>
  <c r="N540" i="1"/>
  <c r="T540" i="1"/>
  <c r="U540" i="1"/>
  <c r="Z540" i="1"/>
  <c r="AA540" i="1"/>
  <c r="B541" i="1"/>
  <c r="E541" i="1"/>
  <c r="K541" i="1"/>
  <c r="L541" i="1"/>
  <c r="M541" i="1"/>
  <c r="N541" i="1"/>
  <c r="T541" i="1"/>
  <c r="U541" i="1"/>
  <c r="Z541" i="1"/>
  <c r="AA541" i="1"/>
  <c r="B542" i="1"/>
  <c r="E542" i="1"/>
  <c r="K542" i="1"/>
  <c r="L542" i="1"/>
  <c r="M542" i="1"/>
  <c r="N542" i="1"/>
  <c r="T542" i="1"/>
  <c r="U542" i="1"/>
  <c r="Z542" i="1"/>
  <c r="AA542" i="1"/>
  <c r="B543" i="1"/>
  <c r="E543" i="1"/>
  <c r="K543" i="1"/>
  <c r="L543" i="1"/>
  <c r="M543" i="1"/>
  <c r="N543" i="1"/>
  <c r="T543" i="1"/>
  <c r="U543" i="1"/>
  <c r="Z543" i="1"/>
  <c r="AA543" i="1"/>
  <c r="B544" i="1"/>
  <c r="E544" i="1"/>
  <c r="K544" i="1"/>
  <c r="L544" i="1"/>
  <c r="M544" i="1"/>
  <c r="N544" i="1"/>
  <c r="T544" i="1"/>
  <c r="U544" i="1"/>
  <c r="Z544" i="1"/>
  <c r="AA544" i="1"/>
  <c r="B545" i="1"/>
  <c r="E545" i="1"/>
  <c r="K545" i="1"/>
  <c r="L545" i="1"/>
  <c r="M545" i="1"/>
  <c r="N545" i="1"/>
  <c r="T545" i="1"/>
  <c r="U545" i="1"/>
  <c r="Z545" i="1"/>
  <c r="AA545" i="1"/>
  <c r="B546" i="1"/>
  <c r="E546" i="1"/>
  <c r="K546" i="1"/>
  <c r="L546" i="1"/>
  <c r="M546" i="1"/>
  <c r="N546" i="1"/>
  <c r="T546" i="1"/>
  <c r="U546" i="1"/>
  <c r="Z546" i="1"/>
  <c r="AA546" i="1"/>
  <c r="B547" i="1"/>
  <c r="E547" i="1"/>
  <c r="K547" i="1"/>
  <c r="L547" i="1"/>
  <c r="M547" i="1"/>
  <c r="N547" i="1"/>
  <c r="T547" i="1"/>
  <c r="U547" i="1"/>
  <c r="Z547" i="1"/>
  <c r="AA547" i="1"/>
  <c r="B548" i="1"/>
  <c r="E548" i="1"/>
  <c r="K548" i="1"/>
  <c r="L548" i="1"/>
  <c r="M548" i="1"/>
  <c r="N548" i="1"/>
  <c r="T548" i="1"/>
  <c r="U548" i="1"/>
  <c r="Z548" i="1"/>
  <c r="AA548" i="1"/>
  <c r="B549" i="1"/>
  <c r="E549" i="1"/>
  <c r="K549" i="1"/>
  <c r="L549" i="1"/>
  <c r="M549" i="1"/>
  <c r="N549" i="1"/>
  <c r="T549" i="1"/>
  <c r="U549" i="1"/>
  <c r="Z549" i="1"/>
  <c r="AA549" i="1"/>
  <c r="B550" i="1"/>
  <c r="E550" i="1"/>
  <c r="K550" i="1"/>
  <c r="L550" i="1"/>
  <c r="M550" i="1"/>
  <c r="N550" i="1"/>
  <c r="T550" i="1"/>
  <c r="U550" i="1"/>
  <c r="Z550" i="1"/>
  <c r="AA550" i="1"/>
  <c r="B551" i="1"/>
  <c r="E551" i="1"/>
  <c r="K551" i="1"/>
  <c r="L551" i="1"/>
  <c r="M551" i="1"/>
  <c r="N551" i="1"/>
  <c r="T551" i="1"/>
  <c r="U551" i="1"/>
  <c r="Z551" i="1"/>
  <c r="AA551" i="1"/>
  <c r="B552" i="1"/>
  <c r="E552" i="1"/>
  <c r="K552" i="1"/>
  <c r="L552" i="1"/>
  <c r="M552" i="1"/>
  <c r="N552" i="1"/>
  <c r="T552" i="1"/>
  <c r="U552" i="1"/>
  <c r="Z552" i="1"/>
  <c r="AA552" i="1"/>
  <c r="B553" i="1"/>
  <c r="E553" i="1"/>
  <c r="K553" i="1"/>
  <c r="L553" i="1"/>
  <c r="M553" i="1"/>
  <c r="N553" i="1"/>
  <c r="T553" i="1"/>
  <c r="U553" i="1"/>
  <c r="Z553" i="1"/>
  <c r="AA553" i="1"/>
  <c r="B554" i="1"/>
  <c r="E554" i="1"/>
  <c r="K554" i="1"/>
  <c r="L554" i="1"/>
  <c r="M554" i="1"/>
  <c r="N554" i="1"/>
  <c r="T554" i="1"/>
  <c r="U554" i="1"/>
  <c r="Z554" i="1"/>
  <c r="AA554" i="1"/>
  <c r="B555" i="1"/>
  <c r="E555" i="1"/>
  <c r="K555" i="1"/>
  <c r="L555" i="1"/>
  <c r="M555" i="1"/>
  <c r="N555" i="1"/>
  <c r="T555" i="1"/>
  <c r="U555" i="1"/>
  <c r="Z555" i="1"/>
  <c r="AA555" i="1"/>
  <c r="B556" i="1"/>
  <c r="E556" i="1"/>
  <c r="K556" i="1"/>
  <c r="L556" i="1"/>
  <c r="M556" i="1"/>
  <c r="N556" i="1"/>
  <c r="T556" i="1"/>
  <c r="U556" i="1"/>
  <c r="Z556" i="1"/>
  <c r="AA556" i="1"/>
  <c r="B557" i="1"/>
  <c r="E557" i="1"/>
  <c r="K557" i="1"/>
  <c r="L557" i="1"/>
  <c r="M557" i="1"/>
  <c r="N557" i="1"/>
  <c r="T557" i="1"/>
  <c r="U557" i="1"/>
  <c r="Z557" i="1"/>
  <c r="AA557" i="1"/>
  <c r="B558" i="1"/>
  <c r="E558" i="1"/>
  <c r="K558" i="1"/>
  <c r="L558" i="1"/>
  <c r="M558" i="1"/>
  <c r="N558" i="1"/>
  <c r="T558" i="1"/>
  <c r="U558" i="1"/>
  <c r="Z558" i="1"/>
  <c r="AA558" i="1"/>
  <c r="B559" i="1"/>
  <c r="E559" i="1"/>
  <c r="K559" i="1"/>
  <c r="L559" i="1"/>
  <c r="M559" i="1"/>
  <c r="N559" i="1"/>
  <c r="T559" i="1"/>
  <c r="U559" i="1"/>
  <c r="Z559" i="1"/>
  <c r="AA559" i="1"/>
  <c r="B560" i="1"/>
  <c r="E560" i="1"/>
  <c r="K560" i="1"/>
  <c r="L560" i="1"/>
  <c r="M560" i="1"/>
  <c r="N560" i="1"/>
  <c r="T560" i="1"/>
  <c r="U560" i="1"/>
  <c r="Z560" i="1"/>
  <c r="AA560" i="1"/>
  <c r="B561" i="1"/>
  <c r="E561" i="1"/>
  <c r="K561" i="1"/>
  <c r="L561" i="1"/>
  <c r="M561" i="1"/>
  <c r="N561" i="1"/>
  <c r="T561" i="1"/>
  <c r="U561" i="1"/>
  <c r="Z561" i="1"/>
  <c r="AA561" i="1"/>
  <c r="B562" i="1"/>
  <c r="E562" i="1"/>
  <c r="K562" i="1"/>
  <c r="L562" i="1"/>
  <c r="M562" i="1"/>
  <c r="N562" i="1"/>
  <c r="T562" i="1"/>
  <c r="U562" i="1"/>
  <c r="Z562" i="1"/>
  <c r="AA562" i="1"/>
  <c r="B563" i="1"/>
  <c r="E563" i="1"/>
  <c r="K563" i="1"/>
  <c r="L563" i="1"/>
  <c r="M563" i="1"/>
  <c r="N563" i="1"/>
  <c r="T563" i="1"/>
  <c r="U563" i="1"/>
  <c r="Z563" i="1"/>
  <c r="AA563" i="1"/>
  <c r="B564" i="1"/>
  <c r="E564" i="1"/>
  <c r="K564" i="1"/>
  <c r="L564" i="1"/>
  <c r="M564" i="1"/>
  <c r="N564" i="1"/>
  <c r="T564" i="1"/>
  <c r="U564" i="1"/>
  <c r="Z564" i="1"/>
  <c r="AA564" i="1"/>
  <c r="B565" i="1"/>
  <c r="E565" i="1"/>
  <c r="K565" i="1"/>
  <c r="L565" i="1"/>
  <c r="M565" i="1"/>
  <c r="N565" i="1"/>
  <c r="T565" i="1"/>
  <c r="U565" i="1"/>
  <c r="Z565" i="1"/>
  <c r="AA565" i="1"/>
  <c r="B566" i="1"/>
  <c r="E566" i="1"/>
  <c r="K566" i="1"/>
  <c r="L566" i="1"/>
  <c r="M566" i="1"/>
  <c r="N566" i="1"/>
  <c r="T566" i="1"/>
  <c r="U566" i="1"/>
  <c r="Z566" i="1"/>
  <c r="AA566" i="1"/>
  <c r="B567" i="1"/>
  <c r="E567" i="1"/>
  <c r="K567" i="1"/>
  <c r="L567" i="1"/>
  <c r="M567" i="1"/>
  <c r="N567" i="1"/>
  <c r="T567" i="1"/>
  <c r="U567" i="1"/>
  <c r="Z567" i="1"/>
  <c r="AA567" i="1"/>
  <c r="B568" i="1"/>
  <c r="E568" i="1"/>
  <c r="K568" i="1"/>
  <c r="L568" i="1"/>
  <c r="M568" i="1"/>
  <c r="N568" i="1"/>
  <c r="T568" i="1"/>
  <c r="U568" i="1"/>
  <c r="Z568" i="1"/>
  <c r="AA568" i="1"/>
  <c r="B569" i="1"/>
  <c r="E569" i="1"/>
  <c r="K569" i="1"/>
  <c r="L569" i="1"/>
  <c r="M569" i="1"/>
  <c r="N569" i="1"/>
  <c r="T569" i="1"/>
  <c r="U569" i="1"/>
  <c r="Z569" i="1"/>
  <c r="AA569" i="1"/>
  <c r="B570" i="1"/>
  <c r="E570" i="1"/>
  <c r="K570" i="1"/>
  <c r="L570" i="1"/>
  <c r="M570" i="1"/>
  <c r="N570" i="1"/>
  <c r="T570" i="1"/>
  <c r="U570" i="1"/>
  <c r="Z570" i="1"/>
  <c r="AA570" i="1"/>
  <c r="B571" i="1"/>
  <c r="E571" i="1"/>
  <c r="K571" i="1"/>
  <c r="L571" i="1"/>
  <c r="M571" i="1"/>
  <c r="N571" i="1"/>
  <c r="T571" i="1"/>
  <c r="U571" i="1"/>
  <c r="Z571" i="1"/>
  <c r="AA571" i="1"/>
  <c r="B572" i="1"/>
  <c r="E572" i="1"/>
  <c r="K572" i="1"/>
  <c r="L572" i="1"/>
  <c r="M572" i="1"/>
  <c r="N572" i="1"/>
  <c r="T572" i="1"/>
  <c r="U572" i="1"/>
  <c r="Z572" i="1"/>
  <c r="AA572" i="1"/>
  <c r="B573" i="1"/>
  <c r="E573" i="1"/>
  <c r="K573" i="1"/>
  <c r="L573" i="1"/>
  <c r="M573" i="1"/>
  <c r="N573" i="1"/>
  <c r="T573" i="1"/>
  <c r="U573" i="1"/>
  <c r="Z573" i="1"/>
  <c r="AA573" i="1"/>
  <c r="B574" i="1"/>
  <c r="E574" i="1"/>
  <c r="K574" i="1"/>
  <c r="L574" i="1"/>
  <c r="M574" i="1"/>
  <c r="N574" i="1"/>
  <c r="T574" i="1"/>
  <c r="U574" i="1"/>
  <c r="Z574" i="1"/>
  <c r="AA574" i="1"/>
  <c r="B575" i="1"/>
  <c r="E575" i="1"/>
  <c r="K575" i="1"/>
  <c r="L575" i="1"/>
  <c r="M575" i="1"/>
  <c r="N575" i="1"/>
  <c r="T575" i="1"/>
  <c r="U575" i="1"/>
  <c r="Z575" i="1"/>
  <c r="AA575" i="1"/>
  <c r="B576" i="1"/>
  <c r="E576" i="1"/>
  <c r="K576" i="1"/>
  <c r="L576" i="1"/>
  <c r="M576" i="1"/>
  <c r="N576" i="1"/>
  <c r="T576" i="1"/>
  <c r="U576" i="1"/>
  <c r="Z576" i="1"/>
  <c r="AA576" i="1"/>
  <c r="B577" i="1"/>
  <c r="E577" i="1"/>
  <c r="K577" i="1"/>
  <c r="L577" i="1"/>
  <c r="M577" i="1"/>
  <c r="N577" i="1"/>
  <c r="T577" i="1"/>
  <c r="U577" i="1"/>
  <c r="Z577" i="1"/>
  <c r="AA577" i="1"/>
  <c r="B578" i="1"/>
  <c r="E578" i="1"/>
  <c r="K578" i="1"/>
  <c r="L578" i="1"/>
  <c r="M578" i="1"/>
  <c r="N578" i="1"/>
  <c r="T578" i="1"/>
  <c r="U578" i="1"/>
  <c r="Z578" i="1"/>
  <c r="AA578" i="1"/>
  <c r="B579" i="1"/>
  <c r="E579" i="1"/>
  <c r="K579" i="1"/>
  <c r="L579" i="1"/>
  <c r="M579" i="1"/>
  <c r="N579" i="1"/>
  <c r="T579" i="1"/>
  <c r="U579" i="1"/>
  <c r="Z579" i="1"/>
  <c r="AA579" i="1"/>
  <c r="B580" i="1"/>
  <c r="E580" i="1"/>
  <c r="K580" i="1"/>
  <c r="L580" i="1"/>
  <c r="M580" i="1"/>
  <c r="N580" i="1"/>
  <c r="T580" i="1"/>
  <c r="U580" i="1"/>
  <c r="Z580" i="1"/>
  <c r="AA580" i="1"/>
  <c r="B581" i="1"/>
  <c r="E581" i="1"/>
  <c r="K581" i="1"/>
  <c r="L581" i="1"/>
  <c r="M581" i="1"/>
  <c r="N581" i="1"/>
  <c r="T581" i="1"/>
  <c r="U581" i="1"/>
  <c r="Z581" i="1"/>
  <c r="AA581" i="1"/>
  <c r="B582" i="1"/>
  <c r="E582" i="1"/>
  <c r="K582" i="1"/>
  <c r="L582" i="1"/>
  <c r="M582" i="1"/>
  <c r="N582" i="1"/>
  <c r="T582" i="1"/>
  <c r="U582" i="1"/>
  <c r="Z582" i="1"/>
  <c r="AA582" i="1"/>
  <c r="B583" i="1"/>
  <c r="E583" i="1"/>
  <c r="K583" i="1"/>
  <c r="L583" i="1"/>
  <c r="M583" i="1"/>
  <c r="N583" i="1"/>
  <c r="T583" i="1"/>
  <c r="U583" i="1"/>
  <c r="Z583" i="1"/>
  <c r="AA583" i="1"/>
  <c r="B584" i="1"/>
  <c r="E584" i="1"/>
  <c r="K584" i="1"/>
  <c r="L584" i="1"/>
  <c r="M584" i="1"/>
  <c r="N584" i="1"/>
  <c r="T584" i="1"/>
  <c r="U584" i="1"/>
  <c r="Z584" i="1"/>
  <c r="AA584" i="1"/>
  <c r="B585" i="1"/>
  <c r="E585" i="1"/>
  <c r="K585" i="1"/>
  <c r="L585" i="1"/>
  <c r="M585" i="1"/>
  <c r="N585" i="1"/>
  <c r="T585" i="1"/>
  <c r="U585" i="1"/>
  <c r="Z585" i="1"/>
  <c r="AA585" i="1"/>
  <c r="B586" i="1"/>
  <c r="E586" i="1"/>
  <c r="K586" i="1"/>
  <c r="L586" i="1"/>
  <c r="M586" i="1"/>
  <c r="N586" i="1"/>
  <c r="T586" i="1"/>
  <c r="U586" i="1"/>
  <c r="Z586" i="1"/>
  <c r="AA586" i="1"/>
  <c r="B587" i="1"/>
  <c r="E587" i="1"/>
  <c r="K587" i="1"/>
  <c r="L587" i="1"/>
  <c r="M587" i="1"/>
  <c r="N587" i="1"/>
  <c r="T587" i="1"/>
  <c r="U587" i="1"/>
  <c r="Z587" i="1"/>
  <c r="AA587" i="1"/>
  <c r="B588" i="1"/>
  <c r="E588" i="1"/>
  <c r="K588" i="1"/>
  <c r="L588" i="1"/>
  <c r="M588" i="1"/>
  <c r="N588" i="1"/>
  <c r="T588" i="1"/>
  <c r="U588" i="1"/>
  <c r="Z588" i="1"/>
  <c r="AA588" i="1"/>
  <c r="B589" i="1"/>
  <c r="E589" i="1"/>
  <c r="K589" i="1"/>
  <c r="L589" i="1"/>
  <c r="M589" i="1"/>
  <c r="N589" i="1"/>
  <c r="T589" i="1"/>
  <c r="U589" i="1"/>
  <c r="Z589" i="1"/>
  <c r="AA589" i="1"/>
  <c r="B590" i="1"/>
  <c r="E590" i="1"/>
  <c r="K590" i="1"/>
  <c r="L590" i="1"/>
  <c r="M590" i="1"/>
  <c r="N590" i="1"/>
  <c r="T590" i="1"/>
  <c r="U590" i="1"/>
  <c r="Z590" i="1"/>
  <c r="AA590" i="1"/>
  <c r="B591" i="1"/>
  <c r="E591" i="1"/>
  <c r="K591" i="1"/>
  <c r="L591" i="1"/>
  <c r="M591" i="1"/>
  <c r="N591" i="1"/>
  <c r="T591" i="1"/>
  <c r="U591" i="1"/>
  <c r="Z591" i="1"/>
  <c r="AA591" i="1"/>
  <c r="B592" i="1"/>
  <c r="E592" i="1"/>
  <c r="K592" i="1"/>
  <c r="L592" i="1"/>
  <c r="M592" i="1"/>
  <c r="N592" i="1"/>
  <c r="T592" i="1"/>
  <c r="U592" i="1"/>
  <c r="Z592" i="1"/>
  <c r="AA592" i="1"/>
  <c r="B593" i="1"/>
  <c r="E593" i="1"/>
  <c r="K593" i="1"/>
  <c r="L593" i="1"/>
  <c r="M593" i="1"/>
  <c r="N593" i="1"/>
  <c r="T593" i="1"/>
  <c r="U593" i="1"/>
  <c r="Z593" i="1"/>
  <c r="AA593" i="1"/>
  <c r="B594" i="1"/>
  <c r="E594" i="1"/>
  <c r="K594" i="1"/>
  <c r="L594" i="1"/>
  <c r="M594" i="1"/>
  <c r="N594" i="1"/>
  <c r="T594" i="1"/>
  <c r="U594" i="1"/>
  <c r="Z594" i="1"/>
  <c r="AA594" i="1"/>
  <c r="B595" i="1"/>
  <c r="E595" i="1"/>
  <c r="K595" i="1"/>
  <c r="L595" i="1"/>
  <c r="M595" i="1"/>
  <c r="N595" i="1"/>
  <c r="T595" i="1"/>
  <c r="U595" i="1"/>
  <c r="Z595" i="1"/>
  <c r="AA595" i="1"/>
  <c r="B596" i="1"/>
  <c r="E596" i="1"/>
  <c r="K596" i="1"/>
  <c r="L596" i="1"/>
  <c r="M596" i="1"/>
  <c r="N596" i="1"/>
  <c r="T596" i="1"/>
  <c r="U596" i="1"/>
  <c r="Z596" i="1"/>
  <c r="AA596" i="1"/>
  <c r="B597" i="1"/>
  <c r="E597" i="1"/>
  <c r="K597" i="1"/>
  <c r="L597" i="1"/>
  <c r="M597" i="1"/>
  <c r="N597" i="1"/>
  <c r="T597" i="1"/>
  <c r="U597" i="1"/>
  <c r="Z597" i="1"/>
  <c r="AA597" i="1"/>
  <c r="B598" i="1"/>
  <c r="E598" i="1"/>
  <c r="K598" i="1"/>
  <c r="L598" i="1"/>
  <c r="M598" i="1"/>
  <c r="N598" i="1"/>
  <c r="T598" i="1"/>
  <c r="U598" i="1"/>
  <c r="Z598" i="1"/>
  <c r="AA598" i="1"/>
  <c r="B599" i="1"/>
  <c r="E599" i="1"/>
  <c r="K599" i="1"/>
  <c r="L599" i="1"/>
  <c r="M599" i="1"/>
  <c r="N599" i="1"/>
  <c r="T599" i="1"/>
  <c r="U599" i="1"/>
  <c r="Z599" i="1"/>
  <c r="AA599" i="1"/>
  <c r="B600" i="1"/>
  <c r="E600" i="1"/>
  <c r="K600" i="1"/>
  <c r="L600" i="1"/>
  <c r="M600" i="1"/>
  <c r="N600" i="1"/>
  <c r="T600" i="1"/>
  <c r="U600" i="1"/>
  <c r="Z600" i="1"/>
  <c r="AA600" i="1"/>
  <c r="B601" i="1"/>
  <c r="E601" i="1"/>
  <c r="K601" i="1"/>
  <c r="L601" i="1"/>
  <c r="M601" i="1"/>
  <c r="N601" i="1"/>
  <c r="T601" i="1"/>
  <c r="U601" i="1"/>
  <c r="Z601" i="1"/>
  <c r="AA601" i="1"/>
  <c r="B602" i="1"/>
  <c r="E602" i="1"/>
  <c r="K602" i="1"/>
  <c r="L602" i="1"/>
  <c r="M602" i="1"/>
  <c r="N602" i="1"/>
  <c r="T602" i="1"/>
  <c r="U602" i="1"/>
  <c r="Z602" i="1"/>
  <c r="AA602" i="1"/>
  <c r="B603" i="1"/>
  <c r="E603" i="1"/>
  <c r="K603" i="1"/>
  <c r="L603" i="1"/>
  <c r="M603" i="1"/>
  <c r="N603" i="1"/>
  <c r="T603" i="1"/>
  <c r="U603" i="1"/>
  <c r="Z603" i="1"/>
  <c r="AA603" i="1"/>
  <c r="B604" i="1"/>
  <c r="E604" i="1"/>
  <c r="K604" i="1"/>
  <c r="L604" i="1"/>
  <c r="M604" i="1"/>
  <c r="N604" i="1"/>
  <c r="T604" i="1"/>
  <c r="U604" i="1"/>
  <c r="Z604" i="1"/>
  <c r="AA604" i="1"/>
  <c r="B605" i="1"/>
  <c r="E605" i="1"/>
  <c r="K605" i="1"/>
  <c r="L605" i="1"/>
  <c r="M605" i="1"/>
  <c r="N605" i="1"/>
  <c r="T605" i="1"/>
  <c r="U605" i="1"/>
  <c r="Z605" i="1"/>
  <c r="AA605" i="1"/>
  <c r="B606" i="1"/>
  <c r="E606" i="1"/>
  <c r="K606" i="1"/>
  <c r="L606" i="1"/>
  <c r="M606" i="1"/>
  <c r="N606" i="1"/>
  <c r="T606" i="1"/>
  <c r="U606" i="1"/>
  <c r="Z606" i="1"/>
  <c r="AA606" i="1"/>
  <c r="B607" i="1"/>
  <c r="E607" i="1"/>
  <c r="K607" i="1"/>
  <c r="L607" i="1"/>
  <c r="M607" i="1"/>
  <c r="N607" i="1"/>
  <c r="T607" i="1"/>
  <c r="U607" i="1"/>
  <c r="Z607" i="1"/>
  <c r="AA607" i="1"/>
  <c r="B608" i="1"/>
  <c r="E608" i="1"/>
  <c r="K608" i="1"/>
  <c r="L608" i="1"/>
  <c r="M608" i="1"/>
  <c r="N608" i="1"/>
  <c r="T608" i="1"/>
  <c r="U608" i="1"/>
  <c r="Z608" i="1"/>
  <c r="AA608" i="1"/>
  <c r="B609" i="1"/>
  <c r="E609" i="1"/>
  <c r="K609" i="1"/>
  <c r="L609" i="1"/>
  <c r="M609" i="1"/>
  <c r="N609" i="1"/>
  <c r="T609" i="1"/>
  <c r="U609" i="1"/>
  <c r="Z609" i="1"/>
  <c r="AA609" i="1"/>
  <c r="B610" i="1"/>
  <c r="E610" i="1"/>
  <c r="K610" i="1"/>
  <c r="L610" i="1"/>
  <c r="M610" i="1"/>
  <c r="N610" i="1"/>
  <c r="T610" i="1"/>
  <c r="U610" i="1"/>
  <c r="Z610" i="1"/>
  <c r="AA610" i="1"/>
  <c r="B611" i="1"/>
  <c r="E611" i="1"/>
  <c r="K611" i="1"/>
  <c r="L611" i="1"/>
  <c r="M611" i="1"/>
  <c r="N611" i="1"/>
  <c r="T611" i="1"/>
  <c r="U611" i="1"/>
  <c r="Z611" i="1"/>
  <c r="AA611" i="1"/>
  <c r="B612" i="1"/>
  <c r="E612" i="1"/>
  <c r="K612" i="1"/>
  <c r="L612" i="1"/>
  <c r="M612" i="1"/>
  <c r="N612" i="1"/>
  <c r="T612" i="1"/>
  <c r="U612" i="1"/>
  <c r="Z612" i="1"/>
  <c r="AA612" i="1"/>
  <c r="B613" i="1"/>
  <c r="E613" i="1"/>
  <c r="K613" i="1"/>
  <c r="L613" i="1"/>
  <c r="M613" i="1"/>
  <c r="N613" i="1"/>
  <c r="T613" i="1"/>
  <c r="U613" i="1"/>
  <c r="Z613" i="1"/>
  <c r="AA613" i="1"/>
  <c r="B614" i="1"/>
  <c r="E614" i="1"/>
  <c r="K614" i="1"/>
  <c r="L614" i="1"/>
  <c r="M614" i="1"/>
  <c r="N614" i="1"/>
  <c r="T614" i="1"/>
  <c r="U614" i="1"/>
  <c r="Z614" i="1"/>
  <c r="AA614" i="1"/>
  <c r="B615" i="1"/>
  <c r="E615" i="1"/>
  <c r="K615" i="1"/>
  <c r="L615" i="1"/>
  <c r="M615" i="1"/>
  <c r="N615" i="1"/>
  <c r="T615" i="1"/>
  <c r="U615" i="1"/>
  <c r="Z615" i="1"/>
  <c r="AA615" i="1"/>
  <c r="B616" i="1"/>
  <c r="E616" i="1"/>
  <c r="K616" i="1"/>
  <c r="L616" i="1"/>
  <c r="M616" i="1"/>
  <c r="N616" i="1"/>
  <c r="T616" i="1"/>
  <c r="U616" i="1"/>
  <c r="Z616" i="1"/>
  <c r="AA616" i="1"/>
  <c r="B617" i="1"/>
  <c r="E617" i="1"/>
  <c r="K617" i="1"/>
  <c r="L617" i="1"/>
  <c r="M617" i="1"/>
  <c r="N617" i="1"/>
  <c r="T617" i="1"/>
  <c r="U617" i="1"/>
  <c r="Z617" i="1"/>
  <c r="AA617" i="1"/>
  <c r="B618" i="1"/>
  <c r="E618" i="1"/>
  <c r="K618" i="1"/>
  <c r="L618" i="1"/>
  <c r="M618" i="1"/>
  <c r="N618" i="1"/>
  <c r="T618" i="1"/>
  <c r="U618" i="1"/>
  <c r="Z618" i="1"/>
  <c r="AA618" i="1"/>
  <c r="B619" i="1"/>
  <c r="E619" i="1"/>
  <c r="K619" i="1"/>
  <c r="L619" i="1"/>
  <c r="M619" i="1"/>
  <c r="N619" i="1"/>
  <c r="T619" i="1"/>
  <c r="U619" i="1"/>
  <c r="Z619" i="1"/>
  <c r="AA619" i="1"/>
  <c r="B620" i="1"/>
  <c r="E620" i="1"/>
  <c r="K620" i="1"/>
  <c r="L620" i="1"/>
  <c r="M620" i="1"/>
  <c r="N620" i="1"/>
  <c r="T620" i="1"/>
  <c r="U620" i="1"/>
  <c r="Z620" i="1"/>
  <c r="AA620" i="1"/>
  <c r="B621" i="1"/>
  <c r="E621" i="1"/>
  <c r="K621" i="1"/>
  <c r="L621" i="1"/>
  <c r="M621" i="1"/>
  <c r="N621" i="1"/>
  <c r="T621" i="1"/>
  <c r="U621" i="1"/>
  <c r="Z621" i="1"/>
  <c r="AA621" i="1"/>
  <c r="B622" i="1"/>
  <c r="E622" i="1"/>
  <c r="K622" i="1"/>
  <c r="L622" i="1"/>
  <c r="M622" i="1"/>
  <c r="N622" i="1"/>
  <c r="T622" i="1"/>
  <c r="U622" i="1"/>
  <c r="Z622" i="1"/>
  <c r="AA622" i="1"/>
  <c r="B623" i="1"/>
  <c r="E623" i="1"/>
  <c r="K623" i="1"/>
  <c r="L623" i="1"/>
  <c r="M623" i="1"/>
  <c r="N623" i="1"/>
  <c r="T623" i="1"/>
  <c r="U623" i="1"/>
  <c r="Z623" i="1"/>
  <c r="AA623" i="1"/>
  <c r="B624" i="1"/>
  <c r="E624" i="1"/>
  <c r="K624" i="1"/>
  <c r="L624" i="1"/>
  <c r="M624" i="1"/>
  <c r="N624" i="1"/>
  <c r="T624" i="1"/>
  <c r="U624" i="1"/>
  <c r="Z624" i="1"/>
  <c r="AA624" i="1"/>
  <c r="B625" i="1"/>
  <c r="E625" i="1"/>
  <c r="K625" i="1"/>
  <c r="L625" i="1"/>
  <c r="M625" i="1"/>
  <c r="N625" i="1"/>
  <c r="T625" i="1"/>
  <c r="U625" i="1"/>
  <c r="Z625" i="1"/>
  <c r="AA625" i="1"/>
  <c r="B626" i="1"/>
  <c r="E626" i="1"/>
  <c r="K626" i="1"/>
  <c r="L626" i="1"/>
  <c r="M626" i="1"/>
  <c r="N626" i="1"/>
  <c r="T626" i="1"/>
  <c r="U626" i="1"/>
  <c r="Z626" i="1"/>
  <c r="AA626" i="1"/>
  <c r="B627" i="1"/>
  <c r="E627" i="1"/>
  <c r="K627" i="1"/>
  <c r="L627" i="1"/>
  <c r="M627" i="1"/>
  <c r="N627" i="1"/>
  <c r="T627" i="1"/>
  <c r="U627" i="1"/>
  <c r="Z627" i="1"/>
  <c r="AA627" i="1"/>
  <c r="B628" i="1"/>
  <c r="E628" i="1"/>
  <c r="K628" i="1"/>
  <c r="L628" i="1"/>
  <c r="M628" i="1"/>
  <c r="N628" i="1"/>
  <c r="T628" i="1"/>
  <c r="U628" i="1"/>
  <c r="Z628" i="1"/>
  <c r="AA628" i="1"/>
  <c r="B629" i="1"/>
  <c r="E629" i="1"/>
  <c r="K629" i="1"/>
  <c r="L629" i="1"/>
  <c r="M629" i="1"/>
  <c r="N629" i="1"/>
  <c r="T629" i="1"/>
  <c r="U629" i="1"/>
  <c r="Z629" i="1"/>
  <c r="AA629" i="1"/>
  <c r="B630" i="1"/>
  <c r="E630" i="1"/>
  <c r="K630" i="1"/>
  <c r="L630" i="1"/>
  <c r="M630" i="1"/>
  <c r="N630" i="1"/>
  <c r="T630" i="1"/>
  <c r="U630" i="1"/>
  <c r="Z630" i="1"/>
  <c r="AA630" i="1"/>
  <c r="B631" i="1"/>
  <c r="E631" i="1"/>
  <c r="K631" i="1"/>
  <c r="L631" i="1"/>
  <c r="M631" i="1"/>
  <c r="N631" i="1"/>
  <c r="T631" i="1"/>
  <c r="U631" i="1"/>
  <c r="Z631" i="1"/>
  <c r="AA631" i="1"/>
  <c r="B632" i="1"/>
  <c r="E632" i="1"/>
  <c r="K632" i="1"/>
  <c r="L632" i="1"/>
  <c r="M632" i="1"/>
  <c r="N632" i="1"/>
  <c r="T632" i="1"/>
  <c r="U632" i="1"/>
  <c r="Z632" i="1"/>
  <c r="AA632" i="1"/>
  <c r="B633" i="1"/>
  <c r="E633" i="1"/>
  <c r="K633" i="1"/>
  <c r="L633" i="1"/>
  <c r="M633" i="1"/>
  <c r="N633" i="1"/>
  <c r="T633" i="1"/>
  <c r="U633" i="1"/>
  <c r="Z633" i="1"/>
  <c r="AA633" i="1"/>
  <c r="B634" i="1"/>
  <c r="E634" i="1"/>
  <c r="K634" i="1"/>
  <c r="L634" i="1"/>
  <c r="M634" i="1"/>
  <c r="N634" i="1"/>
  <c r="T634" i="1"/>
  <c r="U634" i="1"/>
  <c r="Z634" i="1"/>
  <c r="AA634" i="1"/>
  <c r="B635" i="1"/>
  <c r="E635" i="1"/>
  <c r="K635" i="1"/>
  <c r="L635" i="1"/>
  <c r="M635" i="1"/>
  <c r="N635" i="1"/>
  <c r="T635" i="1"/>
  <c r="U635" i="1"/>
  <c r="Z635" i="1"/>
  <c r="AA635" i="1"/>
  <c r="B636" i="1"/>
  <c r="E636" i="1"/>
  <c r="K636" i="1"/>
  <c r="L636" i="1"/>
  <c r="M636" i="1"/>
  <c r="N636" i="1"/>
  <c r="T636" i="1"/>
  <c r="U636" i="1"/>
  <c r="Z636" i="1"/>
  <c r="AA636" i="1"/>
  <c r="B637" i="1"/>
  <c r="E637" i="1"/>
  <c r="K637" i="1"/>
  <c r="L637" i="1"/>
  <c r="M637" i="1"/>
  <c r="N637" i="1"/>
  <c r="T637" i="1"/>
  <c r="U637" i="1"/>
  <c r="Z637" i="1"/>
  <c r="AA637" i="1"/>
  <c r="B638" i="1"/>
  <c r="E638" i="1"/>
  <c r="K638" i="1"/>
  <c r="L638" i="1"/>
  <c r="M638" i="1"/>
  <c r="N638" i="1"/>
  <c r="T638" i="1"/>
  <c r="U638" i="1"/>
  <c r="Z638" i="1"/>
  <c r="AA638" i="1"/>
  <c r="B639" i="1"/>
  <c r="E639" i="1"/>
  <c r="K639" i="1"/>
  <c r="L639" i="1"/>
  <c r="M639" i="1"/>
  <c r="N639" i="1"/>
  <c r="T639" i="1"/>
  <c r="U639" i="1"/>
  <c r="Z639" i="1"/>
  <c r="AA639" i="1"/>
  <c r="B640" i="1"/>
  <c r="E640" i="1"/>
  <c r="K640" i="1"/>
  <c r="L640" i="1"/>
  <c r="M640" i="1"/>
  <c r="N640" i="1"/>
  <c r="T640" i="1"/>
  <c r="U640" i="1"/>
  <c r="Z640" i="1"/>
  <c r="AA640" i="1"/>
  <c r="B641" i="1"/>
  <c r="E641" i="1"/>
  <c r="K641" i="1"/>
  <c r="L641" i="1"/>
  <c r="M641" i="1"/>
  <c r="N641" i="1"/>
  <c r="T641" i="1"/>
  <c r="U641" i="1"/>
  <c r="Z641" i="1"/>
  <c r="AA641" i="1"/>
  <c r="B642" i="1"/>
  <c r="E642" i="1"/>
  <c r="K642" i="1"/>
  <c r="L642" i="1"/>
  <c r="M642" i="1"/>
  <c r="N642" i="1"/>
  <c r="T642" i="1"/>
  <c r="U642" i="1"/>
  <c r="Z642" i="1"/>
  <c r="AA642" i="1"/>
  <c r="B643" i="1"/>
  <c r="E643" i="1"/>
  <c r="K643" i="1"/>
  <c r="L643" i="1"/>
  <c r="M643" i="1"/>
  <c r="N643" i="1"/>
  <c r="T643" i="1"/>
  <c r="U643" i="1"/>
  <c r="Z643" i="1"/>
  <c r="AA643" i="1"/>
  <c r="B644" i="1"/>
  <c r="E644" i="1"/>
  <c r="K644" i="1"/>
  <c r="L644" i="1"/>
  <c r="M644" i="1"/>
  <c r="N644" i="1"/>
  <c r="T644" i="1"/>
  <c r="U644" i="1"/>
  <c r="Z644" i="1"/>
  <c r="AA644" i="1"/>
  <c r="B645" i="1"/>
  <c r="E645" i="1"/>
  <c r="K645" i="1"/>
  <c r="L645" i="1"/>
  <c r="M645" i="1"/>
  <c r="N645" i="1"/>
  <c r="T645" i="1"/>
  <c r="U645" i="1"/>
  <c r="Z645" i="1"/>
  <c r="AA645" i="1"/>
  <c r="B646" i="1"/>
  <c r="E646" i="1"/>
  <c r="K646" i="1"/>
  <c r="L646" i="1"/>
  <c r="M646" i="1"/>
  <c r="N646" i="1"/>
  <c r="T646" i="1"/>
  <c r="U646" i="1"/>
  <c r="Z646" i="1"/>
  <c r="AA646" i="1"/>
  <c r="B647" i="1"/>
  <c r="E647" i="1"/>
  <c r="K647" i="1"/>
  <c r="L647" i="1"/>
  <c r="M647" i="1"/>
  <c r="N647" i="1"/>
  <c r="T647" i="1"/>
  <c r="U647" i="1"/>
  <c r="Z647" i="1"/>
  <c r="AA647" i="1"/>
  <c r="B648" i="1"/>
  <c r="E648" i="1"/>
  <c r="K648" i="1"/>
  <c r="L648" i="1"/>
  <c r="M648" i="1"/>
  <c r="N648" i="1"/>
  <c r="T648" i="1"/>
  <c r="U648" i="1"/>
  <c r="Z648" i="1"/>
  <c r="AA648" i="1"/>
  <c r="B649" i="1"/>
  <c r="E649" i="1"/>
  <c r="K649" i="1"/>
  <c r="L649" i="1"/>
  <c r="M649" i="1"/>
  <c r="N649" i="1"/>
  <c r="T649" i="1"/>
  <c r="U649" i="1"/>
  <c r="Z649" i="1"/>
  <c r="AA649" i="1"/>
  <c r="B650" i="1"/>
  <c r="E650" i="1"/>
  <c r="K650" i="1"/>
  <c r="L650" i="1"/>
  <c r="M650" i="1"/>
  <c r="N650" i="1"/>
  <c r="T650" i="1"/>
  <c r="U650" i="1"/>
  <c r="Z650" i="1"/>
  <c r="AA650" i="1"/>
  <c r="B651" i="1"/>
  <c r="E651" i="1"/>
  <c r="K651" i="1"/>
  <c r="L651" i="1"/>
  <c r="M651" i="1"/>
  <c r="N651" i="1"/>
  <c r="T651" i="1"/>
  <c r="U651" i="1"/>
  <c r="Z651" i="1"/>
  <c r="AA651" i="1"/>
  <c r="B652" i="1"/>
  <c r="E652" i="1"/>
  <c r="K652" i="1"/>
  <c r="L652" i="1"/>
  <c r="M652" i="1"/>
  <c r="N652" i="1"/>
  <c r="T652" i="1"/>
  <c r="U652" i="1"/>
  <c r="Z652" i="1"/>
  <c r="AA652" i="1"/>
  <c r="B653" i="1"/>
  <c r="E653" i="1"/>
  <c r="K653" i="1"/>
  <c r="L653" i="1"/>
  <c r="M653" i="1"/>
  <c r="N653" i="1"/>
  <c r="T653" i="1"/>
  <c r="U653" i="1"/>
  <c r="Z653" i="1"/>
  <c r="AA653" i="1"/>
  <c r="B654" i="1"/>
  <c r="E654" i="1"/>
  <c r="K654" i="1"/>
  <c r="L654" i="1"/>
  <c r="M654" i="1"/>
  <c r="N654" i="1"/>
  <c r="T654" i="1"/>
  <c r="U654" i="1"/>
  <c r="Z654" i="1"/>
  <c r="AA654" i="1"/>
  <c r="B655" i="1"/>
  <c r="E655" i="1"/>
  <c r="K655" i="1"/>
  <c r="L655" i="1"/>
  <c r="M655" i="1"/>
  <c r="N655" i="1"/>
  <c r="T655" i="1"/>
  <c r="U655" i="1"/>
  <c r="Z655" i="1"/>
  <c r="AA655" i="1"/>
  <c r="B656" i="1"/>
  <c r="E656" i="1"/>
  <c r="K656" i="1"/>
  <c r="L656" i="1"/>
  <c r="M656" i="1"/>
  <c r="N656" i="1"/>
  <c r="T656" i="1"/>
  <c r="U656" i="1"/>
  <c r="Z656" i="1"/>
  <c r="AA656" i="1"/>
  <c r="B657" i="1"/>
  <c r="E657" i="1"/>
  <c r="K657" i="1"/>
  <c r="L657" i="1"/>
  <c r="M657" i="1"/>
  <c r="N657" i="1"/>
  <c r="T657" i="1"/>
  <c r="U657" i="1"/>
  <c r="Z657" i="1"/>
  <c r="AA657" i="1"/>
  <c r="B658" i="1"/>
  <c r="E658" i="1"/>
  <c r="K658" i="1"/>
  <c r="L658" i="1"/>
  <c r="M658" i="1"/>
  <c r="N658" i="1"/>
  <c r="T658" i="1"/>
  <c r="U658" i="1"/>
  <c r="Z658" i="1"/>
  <c r="AA658" i="1"/>
  <c r="B659" i="1"/>
  <c r="E659" i="1"/>
  <c r="K659" i="1"/>
  <c r="L659" i="1"/>
  <c r="M659" i="1"/>
  <c r="N659" i="1"/>
  <c r="T659" i="1"/>
  <c r="U659" i="1"/>
  <c r="Z659" i="1"/>
  <c r="AA659" i="1"/>
  <c r="B660" i="1"/>
  <c r="E660" i="1"/>
  <c r="K660" i="1"/>
  <c r="L660" i="1"/>
  <c r="M660" i="1"/>
  <c r="N660" i="1"/>
  <c r="T660" i="1"/>
  <c r="U660" i="1"/>
  <c r="Z660" i="1"/>
  <c r="AA660" i="1"/>
  <c r="B661" i="1"/>
  <c r="E661" i="1"/>
  <c r="K661" i="1"/>
  <c r="L661" i="1"/>
  <c r="M661" i="1"/>
  <c r="N661" i="1"/>
  <c r="T661" i="1"/>
  <c r="U661" i="1"/>
  <c r="Z661" i="1"/>
  <c r="AA661" i="1"/>
  <c r="B662" i="1"/>
  <c r="E662" i="1"/>
  <c r="K662" i="1"/>
  <c r="L662" i="1"/>
  <c r="M662" i="1"/>
  <c r="N662" i="1"/>
  <c r="T662" i="1"/>
  <c r="U662" i="1"/>
  <c r="Z662" i="1"/>
  <c r="AA662" i="1"/>
  <c r="B663" i="1"/>
  <c r="E663" i="1"/>
  <c r="K663" i="1"/>
  <c r="L663" i="1"/>
  <c r="M663" i="1"/>
  <c r="N663" i="1"/>
  <c r="T663" i="1"/>
  <c r="U663" i="1"/>
  <c r="Z663" i="1"/>
  <c r="AA663" i="1"/>
  <c r="B664" i="1"/>
  <c r="E664" i="1"/>
  <c r="K664" i="1"/>
  <c r="L664" i="1"/>
  <c r="M664" i="1"/>
  <c r="N664" i="1"/>
  <c r="T664" i="1"/>
  <c r="U664" i="1"/>
  <c r="Z664" i="1"/>
  <c r="AA664" i="1"/>
  <c r="B665" i="1"/>
  <c r="E665" i="1"/>
  <c r="K665" i="1"/>
  <c r="L665" i="1"/>
  <c r="M665" i="1"/>
  <c r="N665" i="1"/>
  <c r="T665" i="1"/>
  <c r="U665" i="1"/>
  <c r="Z665" i="1"/>
  <c r="AA665" i="1"/>
  <c r="B666" i="1"/>
  <c r="E666" i="1"/>
  <c r="K666" i="1"/>
  <c r="L666" i="1"/>
  <c r="M666" i="1"/>
  <c r="N666" i="1"/>
  <c r="T666" i="1"/>
  <c r="U666" i="1"/>
  <c r="Z666" i="1"/>
  <c r="AA666" i="1"/>
  <c r="B667" i="1"/>
  <c r="E667" i="1"/>
  <c r="K667" i="1"/>
  <c r="L667" i="1"/>
  <c r="M667" i="1"/>
  <c r="N667" i="1"/>
  <c r="T667" i="1"/>
  <c r="U667" i="1"/>
  <c r="Z667" i="1"/>
  <c r="AA667" i="1"/>
  <c r="B668" i="1"/>
  <c r="E668" i="1"/>
  <c r="K668" i="1"/>
  <c r="L668" i="1"/>
  <c r="M668" i="1"/>
  <c r="N668" i="1"/>
  <c r="T668" i="1"/>
  <c r="U668" i="1"/>
  <c r="Z668" i="1"/>
  <c r="AA668" i="1"/>
  <c r="B669" i="1"/>
  <c r="E669" i="1"/>
  <c r="K669" i="1"/>
  <c r="L669" i="1"/>
  <c r="M669" i="1"/>
  <c r="N669" i="1"/>
  <c r="T669" i="1"/>
  <c r="U669" i="1"/>
  <c r="Z669" i="1"/>
  <c r="AA669" i="1"/>
  <c r="B670" i="1"/>
  <c r="E670" i="1"/>
  <c r="K670" i="1"/>
  <c r="L670" i="1"/>
  <c r="M670" i="1"/>
  <c r="N670" i="1"/>
  <c r="T670" i="1"/>
  <c r="U670" i="1"/>
  <c r="Z670" i="1"/>
  <c r="AA670" i="1"/>
  <c r="B671" i="1"/>
  <c r="E671" i="1"/>
  <c r="K671" i="1"/>
  <c r="L671" i="1"/>
  <c r="M671" i="1"/>
  <c r="N671" i="1"/>
  <c r="T671" i="1"/>
  <c r="U671" i="1"/>
  <c r="Z671" i="1"/>
  <c r="AA671" i="1"/>
  <c r="B672" i="1"/>
  <c r="E672" i="1"/>
  <c r="K672" i="1"/>
  <c r="L672" i="1"/>
  <c r="M672" i="1"/>
  <c r="N672" i="1"/>
  <c r="T672" i="1"/>
  <c r="U672" i="1"/>
  <c r="Z672" i="1"/>
  <c r="AA672" i="1"/>
  <c r="B673" i="1"/>
  <c r="E673" i="1"/>
  <c r="K673" i="1"/>
  <c r="L673" i="1"/>
  <c r="M673" i="1"/>
  <c r="N673" i="1"/>
  <c r="T673" i="1"/>
  <c r="U673" i="1"/>
  <c r="Z673" i="1"/>
  <c r="AA673" i="1"/>
  <c r="B674" i="1"/>
  <c r="E674" i="1"/>
  <c r="K674" i="1"/>
  <c r="L674" i="1"/>
  <c r="M674" i="1"/>
  <c r="N674" i="1"/>
  <c r="T674" i="1"/>
  <c r="U674" i="1"/>
  <c r="Z674" i="1"/>
  <c r="AA674" i="1"/>
  <c r="B675" i="1"/>
  <c r="E675" i="1"/>
  <c r="K675" i="1"/>
  <c r="L675" i="1"/>
  <c r="M675" i="1"/>
  <c r="N675" i="1"/>
  <c r="T675" i="1"/>
  <c r="U675" i="1"/>
  <c r="Z675" i="1"/>
  <c r="AA675" i="1"/>
  <c r="B676" i="1"/>
  <c r="E676" i="1"/>
  <c r="K676" i="1"/>
  <c r="L676" i="1"/>
  <c r="M676" i="1"/>
  <c r="N676" i="1"/>
  <c r="T676" i="1"/>
  <c r="U676" i="1"/>
  <c r="Z676" i="1"/>
  <c r="AA676" i="1"/>
  <c r="B677" i="1"/>
  <c r="E677" i="1"/>
  <c r="K677" i="1"/>
  <c r="L677" i="1"/>
  <c r="M677" i="1"/>
  <c r="N677" i="1"/>
  <c r="T677" i="1"/>
  <c r="U677" i="1"/>
  <c r="Z677" i="1"/>
  <c r="AA677" i="1"/>
  <c r="B678" i="1"/>
  <c r="E678" i="1"/>
  <c r="K678" i="1"/>
  <c r="L678" i="1"/>
  <c r="M678" i="1"/>
  <c r="N678" i="1"/>
  <c r="T678" i="1"/>
  <c r="U678" i="1"/>
  <c r="Z678" i="1"/>
  <c r="AA678" i="1"/>
  <c r="B679" i="1"/>
  <c r="E679" i="1"/>
  <c r="K679" i="1"/>
  <c r="L679" i="1"/>
  <c r="M679" i="1"/>
  <c r="N679" i="1"/>
  <c r="T679" i="1"/>
  <c r="U679" i="1"/>
  <c r="Z679" i="1"/>
  <c r="AA679" i="1"/>
  <c r="B680" i="1"/>
  <c r="E680" i="1"/>
  <c r="K680" i="1"/>
  <c r="L680" i="1"/>
  <c r="M680" i="1"/>
  <c r="N680" i="1"/>
  <c r="T680" i="1"/>
  <c r="U680" i="1"/>
  <c r="Z680" i="1"/>
  <c r="AA680" i="1"/>
  <c r="B681" i="1"/>
  <c r="E681" i="1"/>
  <c r="K681" i="1"/>
  <c r="L681" i="1"/>
  <c r="M681" i="1"/>
  <c r="N681" i="1"/>
  <c r="T681" i="1"/>
  <c r="U681" i="1"/>
  <c r="Z681" i="1"/>
  <c r="AA681" i="1"/>
  <c r="B682" i="1"/>
  <c r="E682" i="1"/>
  <c r="K682" i="1"/>
  <c r="L682" i="1"/>
  <c r="M682" i="1"/>
  <c r="N682" i="1"/>
  <c r="T682" i="1"/>
  <c r="U682" i="1"/>
  <c r="Z682" i="1"/>
  <c r="AA682" i="1"/>
  <c r="B683" i="1"/>
  <c r="E683" i="1"/>
  <c r="K683" i="1"/>
  <c r="L683" i="1"/>
  <c r="M683" i="1"/>
  <c r="N683" i="1"/>
  <c r="T683" i="1"/>
  <c r="U683" i="1"/>
  <c r="Z683" i="1"/>
  <c r="AA683" i="1"/>
  <c r="B684" i="1"/>
  <c r="E684" i="1"/>
  <c r="K684" i="1"/>
  <c r="L684" i="1"/>
  <c r="M684" i="1"/>
  <c r="N684" i="1"/>
  <c r="T684" i="1"/>
  <c r="U684" i="1"/>
  <c r="Z684" i="1"/>
  <c r="AA684" i="1"/>
  <c r="B685" i="1"/>
  <c r="E685" i="1"/>
  <c r="K685" i="1"/>
  <c r="L685" i="1"/>
  <c r="M685" i="1"/>
  <c r="N685" i="1"/>
  <c r="T685" i="1"/>
  <c r="U685" i="1"/>
  <c r="Z685" i="1"/>
  <c r="AA685" i="1"/>
  <c r="B686" i="1"/>
  <c r="E686" i="1"/>
  <c r="K686" i="1"/>
  <c r="L686" i="1"/>
  <c r="M686" i="1"/>
  <c r="N686" i="1"/>
  <c r="T686" i="1"/>
  <c r="U686" i="1"/>
  <c r="Z686" i="1"/>
  <c r="AA686" i="1"/>
  <c r="B687" i="1"/>
  <c r="E687" i="1"/>
  <c r="K687" i="1"/>
  <c r="L687" i="1"/>
  <c r="M687" i="1"/>
  <c r="N687" i="1"/>
  <c r="T687" i="1"/>
  <c r="U687" i="1"/>
  <c r="Z687" i="1"/>
  <c r="AA687" i="1"/>
  <c r="B688" i="1"/>
  <c r="E688" i="1"/>
  <c r="K688" i="1"/>
  <c r="L688" i="1"/>
  <c r="M688" i="1"/>
  <c r="N688" i="1"/>
  <c r="T688" i="1"/>
  <c r="U688" i="1"/>
  <c r="Z688" i="1"/>
  <c r="AA688" i="1"/>
  <c r="B689" i="1"/>
  <c r="E689" i="1"/>
  <c r="K689" i="1"/>
  <c r="L689" i="1"/>
  <c r="M689" i="1"/>
  <c r="N689" i="1"/>
  <c r="T689" i="1"/>
  <c r="U689" i="1"/>
  <c r="Z689" i="1"/>
  <c r="AA689" i="1"/>
  <c r="B690" i="1"/>
  <c r="E690" i="1"/>
  <c r="K690" i="1"/>
  <c r="L690" i="1"/>
  <c r="M690" i="1"/>
  <c r="N690" i="1"/>
  <c r="T690" i="1"/>
  <c r="U690" i="1"/>
  <c r="Z690" i="1"/>
  <c r="AA690" i="1"/>
  <c r="B691" i="1"/>
  <c r="E691" i="1"/>
  <c r="K691" i="1"/>
  <c r="L691" i="1"/>
  <c r="M691" i="1"/>
  <c r="N691" i="1"/>
  <c r="T691" i="1"/>
  <c r="U691" i="1"/>
  <c r="Z691" i="1"/>
  <c r="AA691" i="1"/>
  <c r="B692" i="1"/>
  <c r="E692" i="1"/>
  <c r="K692" i="1"/>
  <c r="L692" i="1"/>
  <c r="M692" i="1"/>
  <c r="N692" i="1"/>
  <c r="T692" i="1"/>
  <c r="U692" i="1"/>
  <c r="Z692" i="1"/>
  <c r="AA692" i="1"/>
  <c r="B693" i="1"/>
  <c r="E693" i="1"/>
  <c r="K693" i="1"/>
  <c r="L693" i="1"/>
  <c r="M693" i="1"/>
  <c r="N693" i="1"/>
  <c r="T693" i="1"/>
  <c r="U693" i="1"/>
  <c r="Z693" i="1"/>
  <c r="AA693" i="1"/>
  <c r="B694" i="1"/>
  <c r="E694" i="1"/>
  <c r="K694" i="1"/>
  <c r="L694" i="1"/>
  <c r="M694" i="1"/>
  <c r="N694" i="1"/>
  <c r="T694" i="1"/>
  <c r="U694" i="1"/>
  <c r="Z694" i="1"/>
  <c r="AA694" i="1"/>
  <c r="B695" i="1"/>
  <c r="E695" i="1"/>
  <c r="K695" i="1"/>
  <c r="L695" i="1"/>
  <c r="M695" i="1"/>
  <c r="N695" i="1"/>
  <c r="T695" i="1"/>
  <c r="U695" i="1"/>
  <c r="Z695" i="1"/>
  <c r="AA695" i="1"/>
  <c r="B696" i="1"/>
  <c r="E696" i="1"/>
  <c r="K696" i="1"/>
  <c r="L696" i="1"/>
  <c r="M696" i="1"/>
  <c r="N696" i="1"/>
  <c r="T696" i="1"/>
  <c r="U696" i="1"/>
  <c r="Z696" i="1"/>
  <c r="AA696" i="1"/>
  <c r="B697" i="1"/>
  <c r="E697" i="1"/>
  <c r="K697" i="1"/>
  <c r="L697" i="1"/>
  <c r="M697" i="1"/>
  <c r="N697" i="1"/>
  <c r="T697" i="1"/>
  <c r="U697" i="1"/>
  <c r="Z697" i="1"/>
  <c r="AA697" i="1"/>
  <c r="B698" i="1"/>
  <c r="E698" i="1"/>
  <c r="K698" i="1"/>
  <c r="L698" i="1"/>
  <c r="M698" i="1"/>
  <c r="N698" i="1"/>
  <c r="T698" i="1"/>
  <c r="U698" i="1"/>
  <c r="Z698" i="1"/>
  <c r="AA698" i="1"/>
  <c r="B699" i="1"/>
  <c r="E699" i="1"/>
  <c r="K699" i="1"/>
  <c r="L699" i="1"/>
  <c r="M699" i="1"/>
  <c r="N699" i="1"/>
  <c r="T699" i="1"/>
  <c r="U699" i="1"/>
  <c r="Z699" i="1"/>
  <c r="AA699" i="1"/>
  <c r="B700" i="1"/>
  <c r="E700" i="1"/>
  <c r="K700" i="1"/>
  <c r="L700" i="1"/>
  <c r="M700" i="1"/>
  <c r="N700" i="1"/>
  <c r="T700" i="1"/>
  <c r="U700" i="1"/>
  <c r="Z700" i="1"/>
  <c r="AA700" i="1"/>
  <c r="B701" i="1"/>
  <c r="E701" i="1"/>
  <c r="K701" i="1"/>
  <c r="L701" i="1"/>
  <c r="M701" i="1"/>
  <c r="N701" i="1"/>
  <c r="T701" i="1"/>
  <c r="U701" i="1"/>
  <c r="Z701" i="1"/>
  <c r="AA701" i="1"/>
  <c r="B702" i="1"/>
  <c r="E702" i="1"/>
  <c r="K702" i="1"/>
  <c r="L702" i="1"/>
  <c r="M702" i="1"/>
  <c r="N702" i="1"/>
  <c r="T702" i="1"/>
  <c r="U702" i="1"/>
  <c r="Z702" i="1"/>
  <c r="AA702" i="1"/>
  <c r="B703" i="1"/>
  <c r="E703" i="1"/>
  <c r="K703" i="1"/>
  <c r="L703" i="1"/>
  <c r="M703" i="1"/>
  <c r="N703" i="1"/>
  <c r="T703" i="1"/>
  <c r="U703" i="1"/>
  <c r="Z703" i="1"/>
  <c r="AA703" i="1"/>
  <c r="B704" i="1"/>
  <c r="E704" i="1"/>
  <c r="K704" i="1"/>
  <c r="L704" i="1"/>
  <c r="M704" i="1"/>
  <c r="N704" i="1"/>
  <c r="T704" i="1"/>
  <c r="U704" i="1"/>
  <c r="Z704" i="1"/>
  <c r="AA704" i="1"/>
  <c r="B705" i="1"/>
  <c r="E705" i="1"/>
  <c r="K705" i="1"/>
  <c r="L705" i="1"/>
  <c r="M705" i="1"/>
  <c r="N705" i="1"/>
  <c r="T705" i="1"/>
  <c r="U705" i="1"/>
  <c r="Z705" i="1"/>
  <c r="AA705" i="1"/>
  <c r="B706" i="1"/>
  <c r="E706" i="1"/>
  <c r="K706" i="1"/>
  <c r="L706" i="1"/>
  <c r="M706" i="1"/>
  <c r="N706" i="1"/>
  <c r="T706" i="1"/>
  <c r="U706" i="1"/>
  <c r="Z706" i="1"/>
  <c r="AA706" i="1"/>
  <c r="B707" i="1"/>
  <c r="E707" i="1"/>
  <c r="K707" i="1"/>
  <c r="L707" i="1"/>
  <c r="M707" i="1"/>
  <c r="N707" i="1"/>
  <c r="T707" i="1"/>
  <c r="U707" i="1"/>
  <c r="Z707" i="1"/>
  <c r="AA707" i="1"/>
  <c r="B708" i="1"/>
  <c r="E708" i="1"/>
  <c r="K708" i="1"/>
  <c r="L708" i="1"/>
  <c r="M708" i="1"/>
  <c r="N708" i="1"/>
  <c r="T708" i="1"/>
  <c r="U708" i="1"/>
  <c r="Z708" i="1"/>
  <c r="AA708" i="1"/>
  <c r="B709" i="1"/>
  <c r="E709" i="1"/>
  <c r="K709" i="1"/>
  <c r="L709" i="1"/>
  <c r="M709" i="1"/>
  <c r="N709" i="1"/>
  <c r="T709" i="1"/>
  <c r="U709" i="1"/>
  <c r="Z709" i="1"/>
  <c r="AA709" i="1"/>
  <c r="B710" i="1"/>
  <c r="E710" i="1"/>
  <c r="K710" i="1"/>
  <c r="L710" i="1"/>
  <c r="M710" i="1"/>
  <c r="N710" i="1"/>
  <c r="T710" i="1"/>
  <c r="U710" i="1"/>
  <c r="Z710" i="1"/>
  <c r="AA710" i="1"/>
  <c r="B711" i="1"/>
  <c r="E711" i="1"/>
  <c r="K711" i="1"/>
  <c r="L711" i="1"/>
  <c r="M711" i="1"/>
  <c r="N711" i="1"/>
  <c r="T711" i="1"/>
  <c r="U711" i="1"/>
  <c r="Z711" i="1"/>
  <c r="AA711" i="1"/>
  <c r="B712" i="1"/>
  <c r="E712" i="1"/>
  <c r="K712" i="1"/>
  <c r="L712" i="1"/>
  <c r="M712" i="1"/>
  <c r="N712" i="1"/>
  <c r="T712" i="1"/>
  <c r="U712" i="1"/>
  <c r="Z712" i="1"/>
  <c r="AA712" i="1"/>
  <c r="B713" i="1"/>
  <c r="E713" i="1"/>
  <c r="K713" i="1"/>
  <c r="L713" i="1"/>
  <c r="M713" i="1"/>
  <c r="N713" i="1"/>
  <c r="T713" i="1"/>
  <c r="U713" i="1"/>
  <c r="Z713" i="1"/>
  <c r="AA713" i="1"/>
  <c r="B714" i="1"/>
  <c r="E714" i="1"/>
  <c r="K714" i="1"/>
  <c r="L714" i="1"/>
  <c r="M714" i="1"/>
  <c r="N714" i="1"/>
  <c r="T714" i="1"/>
  <c r="U714" i="1"/>
  <c r="Z714" i="1"/>
  <c r="AA714" i="1"/>
  <c r="B715" i="1"/>
  <c r="E715" i="1"/>
  <c r="K715" i="1"/>
  <c r="L715" i="1"/>
  <c r="M715" i="1"/>
  <c r="N715" i="1"/>
  <c r="T715" i="1"/>
  <c r="U715" i="1"/>
  <c r="Z715" i="1"/>
  <c r="AA715" i="1"/>
  <c r="B716" i="1"/>
  <c r="E716" i="1"/>
  <c r="K716" i="1"/>
  <c r="L716" i="1"/>
  <c r="M716" i="1"/>
  <c r="N716" i="1"/>
  <c r="T716" i="1"/>
  <c r="U716" i="1"/>
  <c r="Z716" i="1"/>
  <c r="AA716" i="1"/>
  <c r="B717" i="1"/>
  <c r="E717" i="1"/>
  <c r="K717" i="1"/>
  <c r="L717" i="1"/>
  <c r="M717" i="1"/>
  <c r="N717" i="1"/>
  <c r="T717" i="1"/>
  <c r="U717" i="1"/>
  <c r="Z717" i="1"/>
  <c r="AA717" i="1"/>
  <c r="B718" i="1"/>
  <c r="E718" i="1"/>
  <c r="K718" i="1"/>
  <c r="L718" i="1"/>
  <c r="M718" i="1"/>
  <c r="N718" i="1"/>
  <c r="T718" i="1"/>
  <c r="U718" i="1"/>
  <c r="Z718" i="1"/>
  <c r="AA718" i="1"/>
  <c r="B719" i="1"/>
  <c r="E719" i="1"/>
  <c r="K719" i="1"/>
  <c r="L719" i="1"/>
  <c r="M719" i="1"/>
  <c r="N719" i="1"/>
  <c r="T719" i="1"/>
  <c r="U719" i="1"/>
  <c r="Z719" i="1"/>
  <c r="AA719" i="1"/>
  <c r="B720" i="1"/>
  <c r="E720" i="1"/>
  <c r="K720" i="1"/>
  <c r="L720" i="1"/>
  <c r="M720" i="1"/>
  <c r="N720" i="1"/>
  <c r="T720" i="1"/>
  <c r="U720" i="1"/>
  <c r="Z720" i="1"/>
  <c r="AA720" i="1"/>
  <c r="B721" i="1"/>
  <c r="E721" i="1"/>
  <c r="K721" i="1"/>
  <c r="L721" i="1"/>
  <c r="M721" i="1"/>
  <c r="N721" i="1"/>
  <c r="T721" i="1"/>
  <c r="U721" i="1"/>
  <c r="Z721" i="1"/>
  <c r="AA721" i="1"/>
  <c r="B722" i="1"/>
  <c r="E722" i="1"/>
  <c r="K722" i="1"/>
  <c r="L722" i="1"/>
  <c r="M722" i="1"/>
  <c r="N722" i="1"/>
  <c r="T722" i="1"/>
  <c r="U722" i="1"/>
  <c r="Z722" i="1"/>
  <c r="AA722" i="1"/>
  <c r="B723" i="1"/>
  <c r="E723" i="1"/>
  <c r="K723" i="1"/>
  <c r="L723" i="1"/>
  <c r="M723" i="1"/>
  <c r="N723" i="1"/>
  <c r="T723" i="1"/>
  <c r="U723" i="1"/>
  <c r="Z723" i="1"/>
  <c r="AA723" i="1"/>
  <c r="B724" i="1"/>
  <c r="E724" i="1"/>
  <c r="K724" i="1"/>
  <c r="L724" i="1"/>
  <c r="M724" i="1"/>
  <c r="N724" i="1"/>
  <c r="T724" i="1"/>
  <c r="U724" i="1"/>
  <c r="Z724" i="1"/>
  <c r="AA724" i="1"/>
  <c r="B725" i="1"/>
  <c r="E725" i="1"/>
  <c r="K725" i="1"/>
  <c r="L725" i="1"/>
  <c r="M725" i="1"/>
  <c r="N725" i="1"/>
  <c r="T725" i="1"/>
  <c r="U725" i="1"/>
  <c r="Z725" i="1"/>
  <c r="AA725" i="1"/>
  <c r="B726" i="1"/>
  <c r="E726" i="1"/>
  <c r="K726" i="1"/>
  <c r="L726" i="1"/>
  <c r="M726" i="1"/>
  <c r="N726" i="1"/>
  <c r="T726" i="1"/>
  <c r="U726" i="1"/>
  <c r="Z726" i="1"/>
  <c r="AA726" i="1"/>
  <c r="B727" i="1"/>
  <c r="E727" i="1"/>
  <c r="K727" i="1"/>
  <c r="L727" i="1"/>
  <c r="M727" i="1"/>
  <c r="N727" i="1"/>
  <c r="T727" i="1"/>
  <c r="U727" i="1"/>
  <c r="Z727" i="1"/>
  <c r="AA727" i="1"/>
  <c r="B728" i="1"/>
  <c r="E728" i="1"/>
  <c r="K728" i="1"/>
  <c r="L728" i="1"/>
  <c r="M728" i="1"/>
  <c r="N728" i="1"/>
  <c r="T728" i="1"/>
  <c r="U728" i="1"/>
  <c r="Z728" i="1"/>
  <c r="AA728" i="1"/>
  <c r="B729" i="1"/>
  <c r="E729" i="1"/>
  <c r="K729" i="1"/>
  <c r="L729" i="1"/>
  <c r="M729" i="1"/>
  <c r="N729" i="1"/>
  <c r="T729" i="1"/>
  <c r="U729" i="1"/>
  <c r="Z729" i="1"/>
  <c r="AA729" i="1"/>
  <c r="B730" i="1"/>
  <c r="E730" i="1"/>
  <c r="K730" i="1"/>
  <c r="L730" i="1"/>
  <c r="M730" i="1"/>
  <c r="N730" i="1"/>
  <c r="T730" i="1"/>
  <c r="U730" i="1"/>
  <c r="Z730" i="1"/>
  <c r="AA730" i="1"/>
  <c r="B731" i="1"/>
  <c r="E731" i="1"/>
  <c r="K731" i="1"/>
  <c r="L731" i="1"/>
  <c r="M731" i="1"/>
  <c r="N731" i="1"/>
  <c r="T731" i="1"/>
  <c r="U731" i="1"/>
  <c r="Z731" i="1"/>
  <c r="AA731" i="1"/>
  <c r="B732" i="1"/>
  <c r="E732" i="1"/>
  <c r="K732" i="1"/>
  <c r="L732" i="1"/>
  <c r="M732" i="1"/>
  <c r="N732" i="1"/>
  <c r="T732" i="1"/>
  <c r="U732" i="1"/>
  <c r="Z732" i="1"/>
  <c r="AA732" i="1"/>
  <c r="B733" i="1"/>
  <c r="E733" i="1"/>
  <c r="K733" i="1"/>
  <c r="L733" i="1"/>
  <c r="M733" i="1"/>
  <c r="N733" i="1"/>
  <c r="T733" i="1"/>
  <c r="U733" i="1"/>
  <c r="Z733" i="1"/>
  <c r="AA733" i="1"/>
  <c r="B734" i="1"/>
  <c r="E734" i="1"/>
  <c r="K734" i="1"/>
  <c r="L734" i="1"/>
  <c r="M734" i="1"/>
  <c r="N734" i="1"/>
  <c r="T734" i="1"/>
  <c r="U734" i="1"/>
  <c r="Z734" i="1"/>
  <c r="AA734" i="1"/>
  <c r="B735" i="1"/>
  <c r="E735" i="1"/>
  <c r="K735" i="1"/>
  <c r="L735" i="1"/>
  <c r="M735" i="1"/>
  <c r="N735" i="1"/>
  <c r="T735" i="1"/>
  <c r="U735" i="1"/>
  <c r="Z735" i="1"/>
  <c r="AA735" i="1"/>
  <c r="B736" i="1"/>
  <c r="E736" i="1"/>
  <c r="K736" i="1"/>
  <c r="L736" i="1"/>
  <c r="M736" i="1"/>
  <c r="N736" i="1"/>
  <c r="T736" i="1"/>
  <c r="U736" i="1"/>
  <c r="Z736" i="1"/>
  <c r="AA736" i="1"/>
  <c r="B737" i="1"/>
  <c r="E737" i="1"/>
  <c r="K737" i="1"/>
  <c r="L737" i="1"/>
  <c r="M737" i="1"/>
  <c r="N737" i="1"/>
  <c r="T737" i="1"/>
  <c r="U737" i="1"/>
  <c r="Z737" i="1"/>
  <c r="AA737" i="1"/>
  <c r="B738" i="1"/>
  <c r="E738" i="1"/>
  <c r="K738" i="1"/>
  <c r="L738" i="1"/>
  <c r="M738" i="1"/>
  <c r="N738" i="1"/>
  <c r="T738" i="1"/>
  <c r="U738" i="1"/>
  <c r="Z738" i="1"/>
  <c r="AA738" i="1"/>
  <c r="B739" i="1"/>
  <c r="E739" i="1"/>
  <c r="K739" i="1"/>
  <c r="L739" i="1"/>
  <c r="M739" i="1"/>
  <c r="N739" i="1"/>
  <c r="T739" i="1"/>
  <c r="U739" i="1"/>
  <c r="Z739" i="1"/>
  <c r="AA739" i="1"/>
  <c r="B740" i="1"/>
  <c r="E740" i="1"/>
  <c r="K740" i="1"/>
  <c r="L740" i="1"/>
  <c r="M740" i="1"/>
  <c r="N740" i="1"/>
  <c r="T740" i="1"/>
  <c r="U740" i="1"/>
  <c r="Z740" i="1"/>
  <c r="AA740" i="1"/>
  <c r="B741" i="1"/>
  <c r="E741" i="1"/>
  <c r="K741" i="1"/>
  <c r="L741" i="1"/>
  <c r="M741" i="1"/>
  <c r="N741" i="1"/>
  <c r="T741" i="1"/>
  <c r="U741" i="1"/>
  <c r="Z741" i="1"/>
  <c r="AA741" i="1"/>
  <c r="B742" i="1"/>
  <c r="E742" i="1"/>
  <c r="K742" i="1"/>
  <c r="L742" i="1"/>
  <c r="M742" i="1"/>
  <c r="N742" i="1"/>
  <c r="T742" i="1"/>
  <c r="U742" i="1"/>
  <c r="Z742" i="1"/>
  <c r="AA742" i="1"/>
  <c r="B743" i="1"/>
  <c r="E743" i="1"/>
  <c r="K743" i="1"/>
  <c r="L743" i="1"/>
  <c r="M743" i="1"/>
  <c r="N743" i="1"/>
  <c r="T743" i="1"/>
  <c r="U743" i="1"/>
  <c r="Z743" i="1"/>
  <c r="AA743" i="1"/>
  <c r="B744" i="1"/>
  <c r="E744" i="1"/>
  <c r="K744" i="1"/>
  <c r="L744" i="1"/>
  <c r="M744" i="1"/>
  <c r="N744" i="1"/>
  <c r="T744" i="1"/>
  <c r="U744" i="1"/>
  <c r="Z744" i="1"/>
  <c r="AA744" i="1"/>
  <c r="B745" i="1"/>
  <c r="E745" i="1"/>
  <c r="K745" i="1"/>
  <c r="L745" i="1"/>
  <c r="M745" i="1"/>
  <c r="N745" i="1"/>
  <c r="T745" i="1"/>
  <c r="U745" i="1"/>
  <c r="Z745" i="1"/>
  <c r="AA745" i="1"/>
  <c r="B746" i="1"/>
  <c r="E746" i="1"/>
  <c r="K746" i="1"/>
  <c r="L746" i="1"/>
  <c r="M746" i="1"/>
  <c r="N746" i="1"/>
  <c r="T746" i="1"/>
  <c r="U746" i="1"/>
  <c r="Z746" i="1"/>
  <c r="AA746" i="1"/>
  <c r="B747" i="1"/>
  <c r="E747" i="1"/>
  <c r="K747" i="1"/>
  <c r="L747" i="1"/>
  <c r="M747" i="1"/>
  <c r="N747" i="1"/>
  <c r="T747" i="1"/>
  <c r="U747" i="1"/>
  <c r="Z747" i="1"/>
  <c r="AA747" i="1"/>
  <c r="B748" i="1"/>
  <c r="E748" i="1"/>
  <c r="K748" i="1"/>
  <c r="L748" i="1"/>
  <c r="M748" i="1"/>
  <c r="N748" i="1"/>
  <c r="T748" i="1"/>
  <c r="U748" i="1"/>
  <c r="Z748" i="1"/>
  <c r="AA748" i="1"/>
  <c r="B749" i="1"/>
  <c r="E749" i="1"/>
  <c r="K749" i="1"/>
  <c r="L749" i="1"/>
  <c r="M749" i="1"/>
  <c r="N749" i="1"/>
  <c r="T749" i="1"/>
  <c r="U749" i="1"/>
  <c r="Z749" i="1"/>
  <c r="AA749" i="1"/>
  <c r="B750" i="1"/>
  <c r="E750" i="1"/>
  <c r="K750" i="1"/>
  <c r="L750" i="1"/>
  <c r="M750" i="1"/>
  <c r="N750" i="1"/>
  <c r="T750" i="1"/>
  <c r="U750" i="1"/>
  <c r="Z750" i="1"/>
  <c r="AA750" i="1"/>
  <c r="B751" i="1"/>
  <c r="E751" i="1"/>
  <c r="K751" i="1"/>
  <c r="L751" i="1"/>
  <c r="M751" i="1"/>
  <c r="N751" i="1"/>
  <c r="T751" i="1"/>
  <c r="U751" i="1"/>
  <c r="Z751" i="1"/>
  <c r="AA751" i="1"/>
  <c r="B752" i="1"/>
  <c r="E752" i="1"/>
  <c r="K752" i="1"/>
  <c r="L752" i="1"/>
  <c r="M752" i="1"/>
  <c r="N752" i="1"/>
  <c r="T752" i="1"/>
  <c r="U752" i="1"/>
  <c r="Z752" i="1"/>
  <c r="AA752" i="1"/>
  <c r="B753" i="1"/>
  <c r="E753" i="1"/>
  <c r="K753" i="1"/>
  <c r="L753" i="1"/>
  <c r="M753" i="1"/>
  <c r="N753" i="1"/>
  <c r="T753" i="1"/>
  <c r="U753" i="1"/>
  <c r="Z753" i="1"/>
  <c r="AA753" i="1"/>
  <c r="B754" i="1"/>
  <c r="E754" i="1"/>
  <c r="K754" i="1"/>
  <c r="L754" i="1"/>
  <c r="M754" i="1"/>
  <c r="N754" i="1"/>
  <c r="T754" i="1"/>
  <c r="U754" i="1"/>
  <c r="Z754" i="1"/>
  <c r="AA754" i="1"/>
  <c r="B755" i="1"/>
  <c r="E755" i="1"/>
  <c r="K755" i="1"/>
  <c r="L755" i="1"/>
  <c r="M755" i="1"/>
  <c r="N755" i="1"/>
  <c r="T755" i="1"/>
  <c r="U755" i="1"/>
  <c r="Z755" i="1"/>
  <c r="AA755" i="1"/>
  <c r="B756" i="1"/>
  <c r="E756" i="1"/>
  <c r="K756" i="1"/>
  <c r="L756" i="1"/>
  <c r="M756" i="1"/>
  <c r="N756" i="1"/>
  <c r="T756" i="1"/>
  <c r="U756" i="1"/>
  <c r="Z756" i="1"/>
  <c r="AA756" i="1"/>
  <c r="B757" i="1"/>
  <c r="E757" i="1"/>
  <c r="K757" i="1"/>
  <c r="L757" i="1"/>
  <c r="M757" i="1"/>
  <c r="N757" i="1"/>
  <c r="T757" i="1"/>
  <c r="U757" i="1"/>
  <c r="Z757" i="1"/>
  <c r="AA757" i="1"/>
  <c r="B758" i="1"/>
  <c r="E758" i="1"/>
  <c r="K758" i="1"/>
  <c r="L758" i="1"/>
  <c r="M758" i="1"/>
  <c r="N758" i="1"/>
  <c r="T758" i="1"/>
  <c r="U758" i="1"/>
  <c r="Z758" i="1"/>
  <c r="AA758" i="1"/>
  <c r="B759" i="1"/>
  <c r="E759" i="1"/>
  <c r="K759" i="1"/>
  <c r="L759" i="1"/>
  <c r="M759" i="1"/>
  <c r="N759" i="1"/>
  <c r="T759" i="1"/>
  <c r="U759" i="1"/>
  <c r="Z759" i="1"/>
  <c r="AA759" i="1"/>
  <c r="B760" i="1"/>
  <c r="E760" i="1"/>
  <c r="K760" i="1"/>
  <c r="L760" i="1"/>
  <c r="M760" i="1"/>
  <c r="N760" i="1"/>
  <c r="T760" i="1"/>
  <c r="U760" i="1"/>
  <c r="Z760" i="1"/>
  <c r="AA760" i="1"/>
  <c r="B761" i="1"/>
  <c r="E761" i="1"/>
  <c r="K761" i="1"/>
  <c r="L761" i="1"/>
  <c r="M761" i="1"/>
  <c r="N761" i="1"/>
  <c r="T761" i="1"/>
  <c r="U761" i="1"/>
  <c r="Z761" i="1"/>
  <c r="AA761" i="1"/>
  <c r="B762" i="1"/>
  <c r="E762" i="1"/>
  <c r="K762" i="1"/>
  <c r="L762" i="1"/>
  <c r="M762" i="1"/>
  <c r="N762" i="1"/>
  <c r="T762" i="1"/>
  <c r="U762" i="1"/>
  <c r="Z762" i="1"/>
  <c r="AA762" i="1"/>
  <c r="B763" i="1"/>
  <c r="E763" i="1"/>
  <c r="K763" i="1"/>
  <c r="L763" i="1"/>
  <c r="M763" i="1"/>
  <c r="N763" i="1"/>
  <c r="T763" i="1"/>
  <c r="U763" i="1"/>
  <c r="Z763" i="1"/>
  <c r="AA763" i="1"/>
  <c r="B764" i="1"/>
  <c r="E764" i="1"/>
  <c r="K764" i="1"/>
  <c r="L764" i="1"/>
  <c r="M764" i="1"/>
  <c r="N764" i="1"/>
  <c r="T764" i="1"/>
  <c r="U764" i="1"/>
  <c r="Z764" i="1"/>
  <c r="AA764" i="1"/>
  <c r="B765" i="1"/>
  <c r="E765" i="1"/>
  <c r="K765" i="1"/>
  <c r="L765" i="1"/>
  <c r="M765" i="1"/>
  <c r="N765" i="1"/>
  <c r="T765" i="1"/>
  <c r="U765" i="1"/>
  <c r="Z765" i="1"/>
  <c r="AA765" i="1"/>
  <c r="B766" i="1"/>
  <c r="E766" i="1"/>
  <c r="K766" i="1"/>
  <c r="L766" i="1"/>
  <c r="M766" i="1"/>
  <c r="N766" i="1"/>
  <c r="T766" i="1"/>
  <c r="U766" i="1"/>
  <c r="Z766" i="1"/>
  <c r="AA766" i="1"/>
  <c r="B767" i="1"/>
  <c r="E767" i="1"/>
  <c r="K767" i="1"/>
  <c r="L767" i="1"/>
  <c r="M767" i="1"/>
  <c r="N767" i="1"/>
  <c r="T767" i="1"/>
  <c r="U767" i="1"/>
  <c r="Z767" i="1"/>
  <c r="AA767" i="1"/>
  <c r="B768" i="1"/>
  <c r="E768" i="1"/>
  <c r="K768" i="1"/>
  <c r="L768" i="1"/>
  <c r="M768" i="1"/>
  <c r="N768" i="1"/>
  <c r="T768" i="1"/>
  <c r="U768" i="1"/>
  <c r="Z768" i="1"/>
  <c r="AA768" i="1"/>
  <c r="B769" i="1"/>
  <c r="E769" i="1"/>
  <c r="K769" i="1"/>
  <c r="L769" i="1"/>
  <c r="M769" i="1"/>
  <c r="N769" i="1"/>
  <c r="T769" i="1"/>
  <c r="U769" i="1"/>
  <c r="Z769" i="1"/>
  <c r="AA769" i="1"/>
  <c r="B770" i="1"/>
  <c r="E770" i="1"/>
  <c r="K770" i="1"/>
  <c r="L770" i="1"/>
  <c r="M770" i="1"/>
  <c r="N770" i="1"/>
  <c r="T770" i="1"/>
  <c r="U770" i="1"/>
  <c r="Z770" i="1"/>
  <c r="AA770" i="1"/>
  <c r="B771" i="1"/>
  <c r="E771" i="1"/>
  <c r="K771" i="1"/>
  <c r="L771" i="1"/>
  <c r="M771" i="1"/>
  <c r="N771" i="1"/>
  <c r="T771" i="1"/>
  <c r="U771" i="1"/>
  <c r="Z771" i="1"/>
  <c r="AA771" i="1"/>
  <c r="B772" i="1"/>
  <c r="E772" i="1"/>
  <c r="K772" i="1"/>
  <c r="L772" i="1"/>
  <c r="M772" i="1"/>
  <c r="N772" i="1"/>
  <c r="T772" i="1"/>
  <c r="U772" i="1"/>
  <c r="Z772" i="1"/>
  <c r="AA772" i="1"/>
  <c r="B773" i="1"/>
  <c r="E773" i="1"/>
  <c r="K773" i="1"/>
  <c r="L773" i="1"/>
  <c r="M773" i="1"/>
  <c r="N773" i="1"/>
  <c r="T773" i="1"/>
  <c r="U773" i="1"/>
  <c r="Z773" i="1"/>
  <c r="AA773" i="1"/>
  <c r="B774" i="1"/>
  <c r="E774" i="1"/>
  <c r="K774" i="1"/>
  <c r="L774" i="1"/>
  <c r="M774" i="1"/>
  <c r="N774" i="1"/>
  <c r="T774" i="1"/>
  <c r="U774" i="1"/>
  <c r="Z774" i="1"/>
  <c r="AA774" i="1"/>
  <c r="B775" i="1"/>
  <c r="E775" i="1"/>
  <c r="K775" i="1"/>
  <c r="L775" i="1"/>
  <c r="M775" i="1"/>
  <c r="N775" i="1"/>
  <c r="T775" i="1"/>
  <c r="U775" i="1"/>
  <c r="Z775" i="1"/>
  <c r="AA775" i="1"/>
  <c r="B776" i="1"/>
  <c r="E776" i="1"/>
  <c r="K776" i="1"/>
  <c r="L776" i="1"/>
  <c r="M776" i="1"/>
  <c r="N776" i="1"/>
  <c r="T776" i="1"/>
  <c r="U776" i="1"/>
  <c r="Z776" i="1"/>
  <c r="AA776" i="1"/>
  <c r="B777" i="1"/>
  <c r="E777" i="1"/>
  <c r="K777" i="1"/>
  <c r="L777" i="1"/>
  <c r="M777" i="1"/>
  <c r="N777" i="1"/>
  <c r="T777" i="1"/>
  <c r="U777" i="1"/>
  <c r="Z777" i="1"/>
  <c r="AA777" i="1"/>
  <c r="B778" i="1"/>
  <c r="E778" i="1"/>
  <c r="K778" i="1"/>
  <c r="L778" i="1"/>
  <c r="M778" i="1"/>
  <c r="N778" i="1"/>
  <c r="T778" i="1"/>
  <c r="U778" i="1"/>
  <c r="Z778" i="1"/>
  <c r="AA778" i="1"/>
  <c r="B779" i="1"/>
  <c r="E779" i="1"/>
  <c r="K779" i="1"/>
  <c r="L779" i="1"/>
  <c r="M779" i="1"/>
  <c r="N779" i="1"/>
  <c r="T779" i="1"/>
  <c r="U779" i="1"/>
  <c r="Z779" i="1"/>
  <c r="AA779" i="1"/>
  <c r="B780" i="1"/>
  <c r="E780" i="1"/>
  <c r="K780" i="1"/>
  <c r="L780" i="1"/>
  <c r="M780" i="1"/>
  <c r="N780" i="1"/>
  <c r="T780" i="1"/>
  <c r="U780" i="1"/>
  <c r="Z780" i="1"/>
  <c r="AA780" i="1"/>
  <c r="B781" i="1"/>
  <c r="E781" i="1"/>
  <c r="K781" i="1"/>
  <c r="L781" i="1"/>
  <c r="M781" i="1"/>
  <c r="N781" i="1"/>
  <c r="T781" i="1"/>
  <c r="U781" i="1"/>
  <c r="Z781" i="1"/>
  <c r="AA781" i="1"/>
  <c r="B782" i="1"/>
  <c r="E782" i="1"/>
  <c r="K782" i="1"/>
  <c r="L782" i="1"/>
  <c r="M782" i="1"/>
  <c r="N782" i="1"/>
  <c r="T782" i="1"/>
  <c r="U782" i="1"/>
  <c r="Z782" i="1"/>
  <c r="AA782" i="1"/>
  <c r="B783" i="1"/>
  <c r="E783" i="1"/>
  <c r="K783" i="1"/>
  <c r="L783" i="1"/>
  <c r="M783" i="1"/>
  <c r="N783" i="1"/>
  <c r="T783" i="1"/>
  <c r="U783" i="1"/>
  <c r="Z783" i="1"/>
  <c r="AA783" i="1"/>
  <c r="B784" i="1"/>
  <c r="E784" i="1"/>
  <c r="K784" i="1"/>
  <c r="L784" i="1"/>
  <c r="M784" i="1"/>
  <c r="N784" i="1"/>
  <c r="T784" i="1"/>
  <c r="U784" i="1"/>
  <c r="Z784" i="1"/>
  <c r="AA784" i="1"/>
  <c r="B785" i="1"/>
  <c r="E785" i="1"/>
  <c r="K785" i="1"/>
  <c r="L785" i="1"/>
  <c r="M785" i="1"/>
  <c r="N785" i="1"/>
  <c r="T785" i="1"/>
  <c r="U785" i="1"/>
  <c r="Z785" i="1"/>
  <c r="AA785" i="1"/>
  <c r="B786" i="1"/>
  <c r="E786" i="1"/>
  <c r="K786" i="1"/>
  <c r="L786" i="1"/>
  <c r="M786" i="1"/>
  <c r="N786" i="1"/>
  <c r="T786" i="1"/>
  <c r="U786" i="1"/>
  <c r="Z786" i="1"/>
  <c r="AA786" i="1"/>
  <c r="B787" i="1"/>
  <c r="E787" i="1"/>
  <c r="K787" i="1"/>
  <c r="L787" i="1"/>
  <c r="M787" i="1"/>
  <c r="N787" i="1"/>
  <c r="T787" i="1"/>
  <c r="U787" i="1"/>
  <c r="Z787" i="1"/>
  <c r="AA787" i="1"/>
  <c r="B788" i="1"/>
  <c r="E788" i="1"/>
  <c r="K788" i="1"/>
  <c r="L788" i="1"/>
  <c r="M788" i="1"/>
  <c r="N788" i="1"/>
  <c r="T788" i="1"/>
  <c r="U788" i="1"/>
  <c r="Z788" i="1"/>
  <c r="AA788" i="1"/>
  <c r="B789" i="1"/>
  <c r="E789" i="1"/>
  <c r="K789" i="1"/>
  <c r="L789" i="1"/>
  <c r="M789" i="1"/>
  <c r="N789" i="1"/>
  <c r="T789" i="1"/>
  <c r="U789" i="1"/>
  <c r="Z789" i="1"/>
  <c r="AA789" i="1"/>
  <c r="B790" i="1"/>
  <c r="E790" i="1"/>
  <c r="K790" i="1"/>
  <c r="L790" i="1"/>
  <c r="M790" i="1"/>
  <c r="N790" i="1"/>
  <c r="T790" i="1"/>
  <c r="U790" i="1"/>
  <c r="Z790" i="1"/>
  <c r="AA790" i="1"/>
  <c r="B791" i="1"/>
  <c r="E791" i="1"/>
  <c r="K791" i="1"/>
  <c r="L791" i="1"/>
  <c r="M791" i="1"/>
  <c r="N791" i="1"/>
  <c r="T791" i="1"/>
  <c r="U791" i="1"/>
  <c r="Z791" i="1"/>
  <c r="AA791" i="1"/>
  <c r="B792" i="1"/>
  <c r="E792" i="1"/>
  <c r="K792" i="1"/>
  <c r="L792" i="1"/>
  <c r="M792" i="1"/>
  <c r="N792" i="1"/>
  <c r="T792" i="1"/>
  <c r="U792" i="1"/>
  <c r="Z792" i="1"/>
  <c r="AA792" i="1"/>
  <c r="B793" i="1"/>
  <c r="E793" i="1"/>
  <c r="K793" i="1"/>
  <c r="L793" i="1"/>
  <c r="M793" i="1"/>
  <c r="N793" i="1"/>
  <c r="T793" i="1"/>
  <c r="U793" i="1"/>
  <c r="Z793" i="1"/>
  <c r="AA793" i="1"/>
  <c r="B794" i="1"/>
  <c r="E794" i="1"/>
  <c r="K794" i="1"/>
  <c r="L794" i="1"/>
  <c r="M794" i="1"/>
  <c r="N794" i="1"/>
  <c r="T794" i="1"/>
  <c r="U794" i="1"/>
  <c r="Z794" i="1"/>
  <c r="AA794" i="1"/>
  <c r="B795" i="1"/>
  <c r="E795" i="1"/>
  <c r="K795" i="1"/>
  <c r="L795" i="1"/>
  <c r="M795" i="1"/>
  <c r="N795" i="1"/>
  <c r="T795" i="1"/>
  <c r="U795" i="1"/>
  <c r="Z795" i="1"/>
  <c r="AA795" i="1"/>
  <c r="B796" i="1"/>
  <c r="E796" i="1"/>
  <c r="K796" i="1"/>
  <c r="L796" i="1"/>
  <c r="M796" i="1"/>
  <c r="N796" i="1"/>
  <c r="T796" i="1"/>
  <c r="U796" i="1"/>
  <c r="Z796" i="1"/>
  <c r="AA796" i="1"/>
  <c r="B797" i="1"/>
  <c r="E797" i="1"/>
  <c r="K797" i="1"/>
  <c r="L797" i="1"/>
  <c r="M797" i="1"/>
  <c r="N797" i="1"/>
  <c r="T797" i="1"/>
  <c r="U797" i="1"/>
  <c r="Z797" i="1"/>
  <c r="AA797" i="1"/>
  <c r="B798" i="1"/>
  <c r="E798" i="1"/>
  <c r="K798" i="1"/>
  <c r="L798" i="1"/>
  <c r="M798" i="1"/>
  <c r="N798" i="1"/>
  <c r="T798" i="1"/>
  <c r="U798" i="1"/>
  <c r="Z798" i="1"/>
  <c r="AA798" i="1"/>
  <c r="B799" i="1"/>
  <c r="E799" i="1"/>
  <c r="K799" i="1"/>
  <c r="L799" i="1"/>
  <c r="M799" i="1"/>
  <c r="N799" i="1"/>
  <c r="T799" i="1"/>
  <c r="U799" i="1"/>
  <c r="Z799" i="1"/>
  <c r="AA799" i="1"/>
  <c r="B800" i="1"/>
  <c r="E800" i="1"/>
  <c r="K800" i="1"/>
  <c r="L800" i="1"/>
  <c r="M800" i="1"/>
  <c r="N800" i="1"/>
  <c r="T800" i="1"/>
  <c r="U800" i="1"/>
  <c r="Z800" i="1"/>
  <c r="AA800" i="1"/>
  <c r="B801" i="1"/>
  <c r="E801" i="1"/>
  <c r="K801" i="1"/>
  <c r="L801" i="1"/>
  <c r="M801" i="1"/>
  <c r="N801" i="1"/>
  <c r="T801" i="1"/>
  <c r="U801" i="1"/>
  <c r="Z801" i="1"/>
  <c r="AA801" i="1"/>
  <c r="B802" i="1"/>
  <c r="E802" i="1"/>
  <c r="K802" i="1"/>
  <c r="L802" i="1"/>
  <c r="M802" i="1"/>
  <c r="N802" i="1"/>
  <c r="T802" i="1"/>
  <c r="U802" i="1"/>
  <c r="Z802" i="1"/>
  <c r="AA802" i="1"/>
  <c r="B803" i="1"/>
  <c r="E803" i="1"/>
  <c r="K803" i="1"/>
  <c r="L803" i="1"/>
  <c r="M803" i="1"/>
  <c r="N803" i="1"/>
  <c r="T803" i="1"/>
  <c r="U803" i="1"/>
  <c r="Z803" i="1"/>
  <c r="AA803" i="1"/>
  <c r="B804" i="1"/>
  <c r="E804" i="1"/>
  <c r="K804" i="1"/>
  <c r="L804" i="1"/>
  <c r="M804" i="1"/>
  <c r="N804" i="1"/>
  <c r="T804" i="1"/>
  <c r="U804" i="1"/>
  <c r="Z804" i="1"/>
  <c r="AA804" i="1"/>
  <c r="B805" i="1"/>
  <c r="E805" i="1"/>
  <c r="K805" i="1"/>
  <c r="L805" i="1"/>
  <c r="M805" i="1"/>
  <c r="N805" i="1"/>
  <c r="T805" i="1"/>
  <c r="U805" i="1"/>
  <c r="Z805" i="1"/>
  <c r="AA805" i="1"/>
  <c r="B806" i="1"/>
  <c r="E806" i="1"/>
  <c r="K806" i="1"/>
  <c r="L806" i="1"/>
  <c r="M806" i="1"/>
  <c r="N806" i="1"/>
  <c r="T806" i="1"/>
  <c r="U806" i="1"/>
  <c r="Z806" i="1"/>
  <c r="AA806" i="1"/>
  <c r="B807" i="1"/>
  <c r="E807" i="1"/>
  <c r="K807" i="1"/>
  <c r="L807" i="1"/>
  <c r="M807" i="1"/>
  <c r="N807" i="1"/>
  <c r="T807" i="1"/>
  <c r="U807" i="1"/>
  <c r="Z807" i="1"/>
  <c r="AA807" i="1"/>
  <c r="B808" i="1"/>
  <c r="E808" i="1"/>
  <c r="K808" i="1"/>
  <c r="L808" i="1"/>
  <c r="M808" i="1"/>
  <c r="N808" i="1"/>
  <c r="T808" i="1"/>
  <c r="U808" i="1"/>
  <c r="Z808" i="1"/>
  <c r="AA808" i="1"/>
  <c r="B809" i="1"/>
  <c r="E809" i="1"/>
  <c r="K809" i="1"/>
  <c r="L809" i="1"/>
  <c r="M809" i="1"/>
  <c r="N809" i="1"/>
  <c r="T809" i="1"/>
  <c r="U809" i="1"/>
  <c r="Z809" i="1"/>
  <c r="AA809" i="1"/>
  <c r="B810" i="1"/>
  <c r="E810" i="1"/>
  <c r="K810" i="1"/>
  <c r="L810" i="1"/>
  <c r="M810" i="1"/>
  <c r="N810" i="1"/>
  <c r="T810" i="1"/>
  <c r="U810" i="1"/>
  <c r="Z810" i="1"/>
  <c r="AA810" i="1"/>
  <c r="B811" i="1"/>
  <c r="E811" i="1"/>
  <c r="K811" i="1"/>
  <c r="L811" i="1"/>
  <c r="M811" i="1"/>
  <c r="N811" i="1"/>
  <c r="T811" i="1"/>
  <c r="U811" i="1"/>
  <c r="Z811" i="1"/>
  <c r="AA811" i="1"/>
  <c r="B812" i="1"/>
  <c r="E812" i="1"/>
  <c r="K812" i="1"/>
  <c r="L812" i="1"/>
  <c r="M812" i="1"/>
  <c r="N812" i="1"/>
  <c r="T812" i="1"/>
  <c r="U812" i="1"/>
  <c r="Z812" i="1"/>
  <c r="AA812" i="1"/>
  <c r="B813" i="1"/>
  <c r="E813" i="1"/>
  <c r="K813" i="1"/>
  <c r="L813" i="1"/>
  <c r="M813" i="1"/>
  <c r="N813" i="1"/>
  <c r="T813" i="1"/>
  <c r="U813" i="1"/>
  <c r="Z813" i="1"/>
  <c r="AA813" i="1"/>
  <c r="B814" i="1"/>
  <c r="E814" i="1"/>
  <c r="K814" i="1"/>
  <c r="L814" i="1"/>
  <c r="M814" i="1"/>
  <c r="N814" i="1"/>
  <c r="T814" i="1"/>
  <c r="U814" i="1"/>
  <c r="Z814" i="1"/>
  <c r="AA814" i="1"/>
  <c r="B815" i="1"/>
  <c r="E815" i="1"/>
  <c r="K815" i="1"/>
  <c r="L815" i="1"/>
  <c r="M815" i="1"/>
  <c r="N815" i="1"/>
  <c r="T815" i="1"/>
  <c r="U815" i="1"/>
  <c r="Z815" i="1"/>
  <c r="AA815" i="1"/>
  <c r="B816" i="1"/>
  <c r="E816" i="1"/>
  <c r="K816" i="1"/>
  <c r="L816" i="1"/>
  <c r="M816" i="1"/>
  <c r="N816" i="1"/>
  <c r="T816" i="1"/>
  <c r="U816" i="1"/>
  <c r="Z816" i="1"/>
  <c r="AA816" i="1"/>
  <c r="B817" i="1"/>
  <c r="E817" i="1"/>
  <c r="K817" i="1"/>
  <c r="L817" i="1"/>
  <c r="M817" i="1"/>
  <c r="N817" i="1"/>
  <c r="T817" i="1"/>
  <c r="U817" i="1"/>
  <c r="Z817" i="1"/>
  <c r="AA817" i="1"/>
  <c r="B818" i="1"/>
  <c r="E818" i="1"/>
  <c r="K818" i="1"/>
  <c r="L818" i="1"/>
  <c r="M818" i="1"/>
  <c r="N818" i="1"/>
  <c r="T818" i="1"/>
  <c r="U818" i="1"/>
  <c r="Z818" i="1"/>
  <c r="AA818" i="1"/>
  <c r="B819" i="1"/>
  <c r="E819" i="1"/>
  <c r="K819" i="1"/>
  <c r="L819" i="1"/>
  <c r="M819" i="1"/>
  <c r="N819" i="1"/>
  <c r="T819" i="1"/>
  <c r="U819" i="1"/>
  <c r="Z819" i="1"/>
  <c r="AA819" i="1"/>
  <c r="B820" i="1"/>
  <c r="E820" i="1"/>
  <c r="K820" i="1"/>
  <c r="L820" i="1"/>
  <c r="M820" i="1"/>
  <c r="N820" i="1"/>
  <c r="T820" i="1"/>
  <c r="U820" i="1"/>
  <c r="Z820" i="1"/>
  <c r="AA820" i="1"/>
  <c r="B821" i="1"/>
  <c r="E821" i="1"/>
  <c r="K821" i="1"/>
  <c r="L821" i="1"/>
  <c r="M821" i="1"/>
  <c r="N821" i="1"/>
  <c r="T821" i="1"/>
  <c r="U821" i="1"/>
  <c r="Z821" i="1"/>
  <c r="AA821" i="1"/>
  <c r="B822" i="1"/>
  <c r="E822" i="1"/>
  <c r="K822" i="1"/>
  <c r="L822" i="1"/>
  <c r="M822" i="1"/>
  <c r="N822" i="1"/>
  <c r="T822" i="1"/>
  <c r="U822" i="1"/>
  <c r="Z822" i="1"/>
  <c r="AA822" i="1"/>
  <c r="B823" i="1"/>
  <c r="E823" i="1"/>
  <c r="K823" i="1"/>
  <c r="L823" i="1"/>
  <c r="M823" i="1"/>
  <c r="N823" i="1"/>
  <c r="T823" i="1"/>
  <c r="U823" i="1"/>
  <c r="Z823" i="1"/>
  <c r="AA823" i="1"/>
  <c r="B824" i="1"/>
  <c r="E824" i="1"/>
  <c r="K824" i="1"/>
  <c r="L824" i="1"/>
  <c r="M824" i="1"/>
  <c r="N824" i="1"/>
  <c r="T824" i="1"/>
  <c r="U824" i="1"/>
  <c r="Z824" i="1"/>
  <c r="AA824" i="1"/>
  <c r="B825" i="1"/>
  <c r="E825" i="1"/>
  <c r="K825" i="1"/>
  <c r="L825" i="1"/>
  <c r="M825" i="1"/>
  <c r="N825" i="1"/>
  <c r="T825" i="1"/>
  <c r="U825" i="1"/>
  <c r="Z825" i="1"/>
  <c r="AA825" i="1"/>
  <c r="B826" i="1"/>
  <c r="E826" i="1"/>
  <c r="K826" i="1"/>
  <c r="L826" i="1"/>
  <c r="M826" i="1"/>
  <c r="N826" i="1"/>
  <c r="T826" i="1"/>
  <c r="U826" i="1"/>
  <c r="Z826" i="1"/>
  <c r="AA826" i="1"/>
  <c r="B827" i="1"/>
  <c r="E827" i="1"/>
  <c r="K827" i="1"/>
  <c r="L827" i="1"/>
  <c r="M827" i="1"/>
  <c r="N827" i="1"/>
  <c r="T827" i="1"/>
  <c r="U827" i="1"/>
  <c r="Z827" i="1"/>
  <c r="AA827" i="1"/>
  <c r="B828" i="1"/>
  <c r="E828" i="1"/>
  <c r="K828" i="1"/>
  <c r="L828" i="1"/>
  <c r="M828" i="1"/>
  <c r="N828" i="1"/>
  <c r="T828" i="1"/>
  <c r="U828" i="1"/>
  <c r="Z828" i="1"/>
  <c r="AA828" i="1"/>
  <c r="B829" i="1"/>
  <c r="E829" i="1"/>
  <c r="K829" i="1"/>
  <c r="L829" i="1"/>
  <c r="M829" i="1"/>
  <c r="N829" i="1"/>
  <c r="T829" i="1"/>
  <c r="U829" i="1"/>
  <c r="Z829" i="1"/>
  <c r="AA829" i="1"/>
  <c r="B830" i="1"/>
  <c r="E830" i="1"/>
  <c r="K830" i="1"/>
  <c r="L830" i="1"/>
  <c r="M830" i="1"/>
  <c r="N830" i="1"/>
  <c r="T830" i="1"/>
  <c r="U830" i="1"/>
  <c r="Z830" i="1"/>
  <c r="AA830" i="1"/>
  <c r="B831" i="1"/>
  <c r="E831" i="1"/>
  <c r="K831" i="1"/>
  <c r="L831" i="1"/>
  <c r="M831" i="1"/>
  <c r="N831" i="1"/>
  <c r="T831" i="1"/>
  <c r="U831" i="1"/>
  <c r="Z831" i="1"/>
  <c r="AA831" i="1"/>
  <c r="B832" i="1"/>
  <c r="E832" i="1"/>
  <c r="K832" i="1"/>
  <c r="L832" i="1"/>
  <c r="M832" i="1"/>
  <c r="N832" i="1"/>
  <c r="T832" i="1"/>
  <c r="U832" i="1"/>
  <c r="Z832" i="1"/>
  <c r="AA832" i="1"/>
  <c r="B833" i="1"/>
  <c r="E833" i="1"/>
  <c r="K833" i="1"/>
  <c r="L833" i="1"/>
  <c r="M833" i="1"/>
  <c r="N833" i="1"/>
  <c r="T833" i="1"/>
  <c r="U833" i="1"/>
  <c r="Z833" i="1"/>
  <c r="AA833" i="1"/>
  <c r="B834" i="1"/>
  <c r="E834" i="1"/>
  <c r="K834" i="1"/>
  <c r="L834" i="1"/>
  <c r="M834" i="1"/>
  <c r="N834" i="1"/>
  <c r="T834" i="1"/>
  <c r="U834" i="1"/>
  <c r="Z834" i="1"/>
  <c r="AA834" i="1"/>
  <c r="B835" i="1"/>
  <c r="E835" i="1"/>
  <c r="K835" i="1"/>
  <c r="L835" i="1"/>
  <c r="M835" i="1"/>
  <c r="N835" i="1"/>
  <c r="T835" i="1"/>
  <c r="U835" i="1"/>
  <c r="Z835" i="1"/>
  <c r="AA835" i="1"/>
  <c r="B836" i="1"/>
  <c r="E836" i="1"/>
  <c r="K836" i="1"/>
  <c r="L836" i="1"/>
  <c r="M836" i="1"/>
  <c r="N836" i="1"/>
  <c r="T836" i="1"/>
  <c r="U836" i="1"/>
  <c r="Z836" i="1"/>
  <c r="AA836" i="1"/>
  <c r="B837" i="1"/>
  <c r="E837" i="1"/>
  <c r="K837" i="1"/>
  <c r="L837" i="1"/>
  <c r="M837" i="1"/>
  <c r="N837" i="1"/>
  <c r="T837" i="1"/>
  <c r="U837" i="1"/>
  <c r="Z837" i="1"/>
  <c r="AA837" i="1"/>
  <c r="B838" i="1"/>
  <c r="E838" i="1"/>
  <c r="K838" i="1"/>
  <c r="L838" i="1"/>
  <c r="M838" i="1"/>
  <c r="N838" i="1"/>
  <c r="T838" i="1"/>
  <c r="U838" i="1"/>
  <c r="Z838" i="1"/>
  <c r="AA838" i="1"/>
  <c r="B839" i="1"/>
  <c r="E839" i="1"/>
  <c r="K839" i="1"/>
  <c r="L839" i="1"/>
  <c r="M839" i="1"/>
  <c r="N839" i="1"/>
  <c r="T839" i="1"/>
  <c r="U839" i="1"/>
  <c r="Z839" i="1"/>
  <c r="AA839" i="1"/>
  <c r="B840" i="1"/>
  <c r="E840" i="1"/>
  <c r="K840" i="1"/>
  <c r="L840" i="1"/>
  <c r="M840" i="1"/>
  <c r="N840" i="1"/>
  <c r="T840" i="1"/>
  <c r="U840" i="1"/>
  <c r="Z840" i="1"/>
  <c r="AA840" i="1"/>
  <c r="B841" i="1"/>
  <c r="E841" i="1"/>
  <c r="K841" i="1"/>
  <c r="L841" i="1"/>
  <c r="M841" i="1"/>
  <c r="N841" i="1"/>
  <c r="T841" i="1"/>
  <c r="U841" i="1"/>
  <c r="Z841" i="1"/>
  <c r="AA841" i="1"/>
  <c r="B842" i="1"/>
  <c r="E842" i="1"/>
  <c r="K842" i="1"/>
  <c r="L842" i="1"/>
  <c r="M842" i="1"/>
  <c r="N842" i="1"/>
  <c r="T842" i="1"/>
  <c r="U842" i="1"/>
  <c r="Z842" i="1"/>
  <c r="AA842" i="1"/>
  <c r="B843" i="1"/>
  <c r="E843" i="1"/>
  <c r="K843" i="1"/>
  <c r="L843" i="1"/>
  <c r="M843" i="1"/>
  <c r="N843" i="1"/>
  <c r="T843" i="1"/>
  <c r="U843" i="1"/>
  <c r="Z843" i="1"/>
  <c r="AA843" i="1"/>
  <c r="B844" i="1"/>
  <c r="E844" i="1"/>
  <c r="K844" i="1"/>
  <c r="L844" i="1"/>
  <c r="M844" i="1"/>
  <c r="N844" i="1"/>
  <c r="T844" i="1"/>
  <c r="U844" i="1"/>
  <c r="Z844" i="1"/>
  <c r="AA844" i="1"/>
  <c r="B845" i="1"/>
  <c r="E845" i="1"/>
  <c r="K845" i="1"/>
  <c r="L845" i="1"/>
  <c r="M845" i="1"/>
  <c r="N845" i="1"/>
  <c r="T845" i="1"/>
  <c r="U845" i="1"/>
  <c r="Z845" i="1"/>
  <c r="AA845" i="1"/>
  <c r="B846" i="1"/>
  <c r="E846" i="1"/>
  <c r="K846" i="1"/>
  <c r="L846" i="1"/>
  <c r="M846" i="1"/>
  <c r="N846" i="1"/>
  <c r="T846" i="1"/>
  <c r="U846" i="1"/>
  <c r="Z846" i="1"/>
  <c r="AA846" i="1"/>
  <c r="B847" i="1"/>
  <c r="E847" i="1"/>
  <c r="K847" i="1"/>
  <c r="L847" i="1"/>
  <c r="M847" i="1"/>
  <c r="N847" i="1"/>
  <c r="T847" i="1"/>
  <c r="U847" i="1"/>
  <c r="Z847" i="1"/>
  <c r="AA847" i="1"/>
  <c r="B848" i="1"/>
  <c r="E848" i="1"/>
  <c r="K848" i="1"/>
  <c r="L848" i="1"/>
  <c r="M848" i="1"/>
  <c r="N848" i="1"/>
  <c r="T848" i="1"/>
  <c r="U848" i="1"/>
  <c r="Z848" i="1"/>
  <c r="AA848" i="1"/>
  <c r="B849" i="1"/>
  <c r="E849" i="1"/>
  <c r="K849" i="1"/>
  <c r="L849" i="1"/>
  <c r="M849" i="1"/>
  <c r="N849" i="1"/>
  <c r="T849" i="1"/>
  <c r="U849" i="1"/>
  <c r="Z849" i="1"/>
  <c r="AA849" i="1"/>
  <c r="B850" i="1"/>
  <c r="E850" i="1"/>
  <c r="K850" i="1"/>
  <c r="L850" i="1"/>
  <c r="M850" i="1"/>
  <c r="N850" i="1"/>
  <c r="T850" i="1"/>
  <c r="U850" i="1"/>
  <c r="Z850" i="1"/>
  <c r="AA850" i="1"/>
  <c r="B851" i="1"/>
  <c r="E851" i="1"/>
  <c r="K851" i="1"/>
  <c r="L851" i="1"/>
  <c r="M851" i="1"/>
  <c r="N851" i="1"/>
  <c r="T851" i="1"/>
  <c r="U851" i="1"/>
  <c r="Z851" i="1"/>
  <c r="AA851" i="1"/>
  <c r="B852" i="1"/>
  <c r="E852" i="1"/>
  <c r="K852" i="1"/>
  <c r="L852" i="1"/>
  <c r="M852" i="1"/>
  <c r="N852" i="1"/>
  <c r="T852" i="1"/>
  <c r="U852" i="1"/>
  <c r="Z852" i="1"/>
  <c r="AA852" i="1"/>
  <c r="B853" i="1"/>
  <c r="E853" i="1"/>
  <c r="K853" i="1"/>
  <c r="L853" i="1"/>
  <c r="M853" i="1"/>
  <c r="N853" i="1"/>
  <c r="T853" i="1"/>
  <c r="U853" i="1"/>
  <c r="Z853" i="1"/>
  <c r="AA853" i="1"/>
  <c r="B854" i="1"/>
  <c r="E854" i="1"/>
  <c r="K854" i="1"/>
  <c r="L854" i="1"/>
  <c r="M854" i="1"/>
  <c r="N854" i="1"/>
  <c r="T854" i="1"/>
  <c r="U854" i="1"/>
  <c r="Z854" i="1"/>
  <c r="AA854" i="1"/>
  <c r="B855" i="1"/>
  <c r="E855" i="1"/>
  <c r="K855" i="1"/>
  <c r="L855" i="1"/>
  <c r="M855" i="1"/>
  <c r="N855" i="1"/>
  <c r="T855" i="1"/>
  <c r="U855" i="1"/>
  <c r="Z855" i="1"/>
  <c r="AA855" i="1"/>
  <c r="B856" i="1"/>
  <c r="E856" i="1"/>
  <c r="K856" i="1"/>
  <c r="L856" i="1"/>
  <c r="M856" i="1"/>
  <c r="N856" i="1"/>
  <c r="T856" i="1"/>
  <c r="U856" i="1"/>
  <c r="Z856" i="1"/>
  <c r="AA856" i="1"/>
  <c r="B857" i="1"/>
  <c r="E857" i="1"/>
  <c r="K857" i="1"/>
  <c r="L857" i="1"/>
  <c r="M857" i="1"/>
  <c r="N857" i="1"/>
  <c r="T857" i="1"/>
  <c r="U857" i="1"/>
  <c r="Z857" i="1"/>
  <c r="AA857" i="1"/>
  <c r="B858" i="1"/>
  <c r="E858" i="1"/>
  <c r="K858" i="1"/>
  <c r="L858" i="1"/>
  <c r="M858" i="1"/>
  <c r="N858" i="1"/>
  <c r="T858" i="1"/>
  <c r="U858" i="1"/>
  <c r="Z858" i="1"/>
  <c r="AA858" i="1"/>
  <c r="B859" i="1"/>
  <c r="E859" i="1"/>
  <c r="K859" i="1"/>
  <c r="L859" i="1"/>
  <c r="M859" i="1"/>
  <c r="N859" i="1"/>
  <c r="T859" i="1"/>
  <c r="U859" i="1"/>
  <c r="Z859" i="1"/>
  <c r="AA859" i="1"/>
  <c r="B860" i="1"/>
  <c r="E860" i="1"/>
  <c r="K860" i="1"/>
  <c r="L860" i="1"/>
  <c r="M860" i="1"/>
  <c r="N860" i="1"/>
  <c r="T860" i="1"/>
  <c r="U860" i="1"/>
  <c r="Z860" i="1"/>
  <c r="AA860" i="1"/>
  <c r="B861" i="1"/>
  <c r="E861" i="1"/>
  <c r="K861" i="1"/>
  <c r="L861" i="1"/>
  <c r="M861" i="1"/>
  <c r="N861" i="1"/>
  <c r="T861" i="1"/>
  <c r="U861" i="1"/>
  <c r="Z861" i="1"/>
  <c r="AA861" i="1"/>
  <c r="B862" i="1"/>
  <c r="E862" i="1"/>
  <c r="K862" i="1"/>
  <c r="L862" i="1"/>
  <c r="M862" i="1"/>
  <c r="N862" i="1"/>
  <c r="T862" i="1"/>
  <c r="U862" i="1"/>
  <c r="Z862" i="1"/>
  <c r="AA862" i="1"/>
  <c r="B863" i="1"/>
  <c r="E863" i="1"/>
  <c r="K863" i="1"/>
  <c r="L863" i="1"/>
  <c r="M863" i="1"/>
  <c r="N863" i="1"/>
  <c r="T863" i="1"/>
  <c r="U863" i="1"/>
  <c r="Z863" i="1"/>
  <c r="AA863" i="1"/>
  <c r="B864" i="1"/>
  <c r="E864" i="1"/>
  <c r="K864" i="1"/>
  <c r="L864" i="1"/>
  <c r="M864" i="1"/>
  <c r="N864" i="1"/>
  <c r="T864" i="1"/>
  <c r="U864" i="1"/>
  <c r="Z864" i="1"/>
  <c r="AA864" i="1"/>
  <c r="B865" i="1"/>
  <c r="E865" i="1"/>
  <c r="K865" i="1"/>
  <c r="L865" i="1"/>
  <c r="M865" i="1"/>
  <c r="N865" i="1"/>
  <c r="T865" i="1"/>
  <c r="U865" i="1"/>
  <c r="Z865" i="1"/>
  <c r="AA865" i="1"/>
  <c r="B866" i="1"/>
  <c r="E866" i="1"/>
  <c r="K866" i="1"/>
  <c r="L866" i="1"/>
  <c r="M866" i="1"/>
  <c r="N866" i="1"/>
  <c r="T866" i="1"/>
  <c r="U866" i="1"/>
  <c r="Z866" i="1"/>
  <c r="AA866" i="1"/>
  <c r="B867" i="1"/>
  <c r="E867" i="1"/>
  <c r="K867" i="1"/>
  <c r="L867" i="1"/>
  <c r="M867" i="1"/>
  <c r="N867" i="1"/>
  <c r="T867" i="1"/>
  <c r="U867" i="1"/>
  <c r="Z867" i="1"/>
  <c r="AA867" i="1"/>
  <c r="B868" i="1"/>
  <c r="E868" i="1"/>
  <c r="K868" i="1"/>
  <c r="L868" i="1"/>
  <c r="M868" i="1"/>
  <c r="N868" i="1"/>
  <c r="T868" i="1"/>
  <c r="U868" i="1"/>
  <c r="Z868" i="1"/>
  <c r="AA868" i="1"/>
  <c r="B869" i="1"/>
  <c r="E869" i="1"/>
  <c r="K869" i="1"/>
  <c r="L869" i="1"/>
  <c r="M869" i="1"/>
  <c r="N869" i="1"/>
  <c r="T869" i="1"/>
  <c r="U869" i="1"/>
  <c r="Z869" i="1"/>
  <c r="AA869" i="1"/>
  <c r="B870" i="1"/>
  <c r="E870" i="1"/>
  <c r="K870" i="1"/>
  <c r="L870" i="1"/>
  <c r="M870" i="1"/>
  <c r="N870" i="1"/>
  <c r="T870" i="1"/>
  <c r="U870" i="1"/>
  <c r="Z870" i="1"/>
  <c r="AA870" i="1"/>
  <c r="B871" i="1"/>
  <c r="E871" i="1"/>
  <c r="K871" i="1"/>
  <c r="L871" i="1"/>
  <c r="M871" i="1"/>
  <c r="N871" i="1"/>
  <c r="T871" i="1"/>
  <c r="U871" i="1"/>
  <c r="Z871" i="1"/>
  <c r="AA871" i="1"/>
  <c r="B872" i="1"/>
  <c r="E872" i="1"/>
  <c r="K872" i="1"/>
  <c r="L872" i="1"/>
  <c r="M872" i="1"/>
  <c r="N872" i="1"/>
  <c r="T872" i="1"/>
  <c r="U872" i="1"/>
  <c r="Z872" i="1"/>
  <c r="AA872" i="1"/>
  <c r="B873" i="1"/>
  <c r="E873" i="1"/>
  <c r="K873" i="1"/>
  <c r="L873" i="1"/>
  <c r="M873" i="1"/>
  <c r="N873" i="1"/>
  <c r="T873" i="1"/>
  <c r="U873" i="1"/>
  <c r="Z873" i="1"/>
  <c r="AA873" i="1"/>
  <c r="B874" i="1"/>
  <c r="E874" i="1"/>
  <c r="K874" i="1"/>
  <c r="L874" i="1"/>
  <c r="M874" i="1"/>
  <c r="N874" i="1"/>
  <c r="T874" i="1"/>
  <c r="U874" i="1"/>
  <c r="Z874" i="1"/>
  <c r="AA874" i="1"/>
  <c r="B875" i="1"/>
  <c r="E875" i="1"/>
  <c r="K875" i="1"/>
  <c r="L875" i="1"/>
  <c r="M875" i="1"/>
  <c r="N875" i="1"/>
  <c r="T875" i="1"/>
  <c r="U875" i="1"/>
  <c r="Z875" i="1"/>
  <c r="AA875" i="1"/>
  <c r="B876" i="1"/>
  <c r="E876" i="1"/>
  <c r="K876" i="1"/>
  <c r="L876" i="1"/>
  <c r="M876" i="1"/>
  <c r="N876" i="1"/>
  <c r="T876" i="1"/>
  <c r="U876" i="1"/>
  <c r="Z876" i="1"/>
  <c r="AA876" i="1"/>
  <c r="B877" i="1"/>
  <c r="E877" i="1"/>
  <c r="K877" i="1"/>
  <c r="L877" i="1"/>
  <c r="M877" i="1"/>
  <c r="N877" i="1"/>
  <c r="T877" i="1"/>
  <c r="U877" i="1"/>
  <c r="Z877" i="1"/>
  <c r="AA877" i="1"/>
  <c r="B878" i="1"/>
  <c r="E878" i="1"/>
  <c r="K878" i="1"/>
  <c r="L878" i="1"/>
  <c r="M878" i="1"/>
  <c r="N878" i="1"/>
  <c r="T878" i="1"/>
  <c r="U878" i="1"/>
  <c r="Z878" i="1"/>
  <c r="AA878" i="1"/>
  <c r="B879" i="1"/>
  <c r="E879" i="1"/>
  <c r="K879" i="1"/>
  <c r="L879" i="1"/>
  <c r="M879" i="1"/>
  <c r="N879" i="1"/>
  <c r="T879" i="1"/>
  <c r="U879" i="1"/>
  <c r="Z879" i="1"/>
  <c r="AA879" i="1"/>
  <c r="B880" i="1"/>
  <c r="E880" i="1"/>
  <c r="K880" i="1"/>
  <c r="L880" i="1"/>
  <c r="M880" i="1"/>
  <c r="N880" i="1"/>
  <c r="T880" i="1"/>
  <c r="U880" i="1"/>
  <c r="Z880" i="1"/>
  <c r="AA880" i="1"/>
  <c r="B881" i="1"/>
  <c r="E881" i="1"/>
  <c r="K881" i="1"/>
  <c r="L881" i="1"/>
  <c r="M881" i="1"/>
  <c r="N881" i="1"/>
  <c r="T881" i="1"/>
  <c r="U881" i="1"/>
  <c r="Z881" i="1"/>
  <c r="AA881" i="1"/>
  <c r="B882" i="1"/>
  <c r="E882" i="1"/>
  <c r="K882" i="1"/>
  <c r="L882" i="1"/>
  <c r="M882" i="1"/>
  <c r="N882" i="1"/>
  <c r="T882" i="1"/>
  <c r="U882" i="1"/>
  <c r="Z882" i="1"/>
  <c r="AA882" i="1"/>
  <c r="B883" i="1"/>
  <c r="E883" i="1"/>
  <c r="K883" i="1"/>
  <c r="L883" i="1"/>
  <c r="M883" i="1"/>
  <c r="N883" i="1"/>
  <c r="T883" i="1"/>
  <c r="U883" i="1"/>
  <c r="Z883" i="1"/>
  <c r="AA883" i="1"/>
  <c r="B884" i="1"/>
  <c r="E884" i="1"/>
  <c r="K884" i="1"/>
  <c r="L884" i="1"/>
  <c r="M884" i="1"/>
  <c r="N884" i="1"/>
  <c r="T884" i="1"/>
  <c r="U884" i="1"/>
  <c r="Z884" i="1"/>
  <c r="AA884" i="1"/>
  <c r="B885" i="1"/>
  <c r="E885" i="1"/>
  <c r="K885" i="1"/>
  <c r="L885" i="1"/>
  <c r="M885" i="1"/>
  <c r="N885" i="1"/>
  <c r="T885" i="1"/>
  <c r="U885" i="1"/>
  <c r="Z885" i="1"/>
  <c r="AA885" i="1"/>
  <c r="B886" i="1"/>
  <c r="E886" i="1"/>
  <c r="K886" i="1"/>
  <c r="L886" i="1"/>
  <c r="M886" i="1"/>
  <c r="N886" i="1"/>
  <c r="T886" i="1"/>
  <c r="U886" i="1"/>
  <c r="Z886" i="1"/>
  <c r="AA886" i="1"/>
  <c r="B887" i="1"/>
  <c r="E887" i="1"/>
  <c r="K887" i="1"/>
  <c r="L887" i="1"/>
  <c r="M887" i="1"/>
  <c r="N887" i="1"/>
  <c r="T887" i="1"/>
  <c r="U887" i="1"/>
  <c r="Z887" i="1"/>
  <c r="AA887" i="1"/>
  <c r="B888" i="1"/>
  <c r="E888" i="1"/>
  <c r="K888" i="1"/>
  <c r="L888" i="1"/>
  <c r="M888" i="1"/>
  <c r="N888" i="1"/>
  <c r="T888" i="1"/>
  <c r="U888" i="1"/>
  <c r="Z888" i="1"/>
  <c r="AA888" i="1"/>
  <c r="B889" i="1"/>
  <c r="E889" i="1"/>
  <c r="K889" i="1"/>
  <c r="L889" i="1"/>
  <c r="M889" i="1"/>
  <c r="N889" i="1"/>
  <c r="T889" i="1"/>
  <c r="U889" i="1"/>
  <c r="Z889" i="1"/>
  <c r="AA889" i="1"/>
  <c r="B890" i="1"/>
  <c r="E890" i="1"/>
  <c r="K890" i="1"/>
  <c r="L890" i="1"/>
  <c r="M890" i="1"/>
  <c r="N890" i="1"/>
  <c r="T890" i="1"/>
  <c r="U890" i="1"/>
  <c r="Z890" i="1"/>
  <c r="AA890" i="1"/>
  <c r="B891" i="1"/>
  <c r="E891" i="1"/>
  <c r="K891" i="1"/>
  <c r="L891" i="1"/>
  <c r="M891" i="1"/>
  <c r="N891" i="1"/>
  <c r="T891" i="1"/>
  <c r="U891" i="1"/>
  <c r="Z891" i="1"/>
  <c r="AA891" i="1"/>
  <c r="B892" i="1"/>
  <c r="E892" i="1"/>
  <c r="K892" i="1"/>
  <c r="L892" i="1"/>
  <c r="M892" i="1"/>
  <c r="N892" i="1"/>
  <c r="T892" i="1"/>
  <c r="U892" i="1"/>
  <c r="Z892" i="1"/>
  <c r="AA892" i="1"/>
  <c r="B893" i="1"/>
  <c r="E893" i="1"/>
  <c r="K893" i="1"/>
  <c r="L893" i="1"/>
  <c r="M893" i="1"/>
  <c r="N893" i="1"/>
  <c r="T893" i="1"/>
  <c r="U893" i="1"/>
  <c r="Z893" i="1"/>
  <c r="AA893" i="1"/>
  <c r="B894" i="1"/>
  <c r="E894" i="1"/>
  <c r="K894" i="1"/>
  <c r="L894" i="1"/>
  <c r="M894" i="1"/>
  <c r="N894" i="1"/>
  <c r="T894" i="1"/>
  <c r="U894" i="1"/>
  <c r="Z894" i="1"/>
  <c r="AA894" i="1"/>
  <c r="B895" i="1"/>
  <c r="E895" i="1"/>
  <c r="K895" i="1"/>
  <c r="L895" i="1"/>
  <c r="M895" i="1"/>
  <c r="N895" i="1"/>
  <c r="T895" i="1"/>
  <c r="U895" i="1"/>
  <c r="Z895" i="1"/>
  <c r="AA895" i="1"/>
  <c r="B896" i="1"/>
  <c r="E896" i="1"/>
  <c r="K896" i="1"/>
  <c r="L896" i="1"/>
  <c r="M896" i="1"/>
  <c r="N896" i="1"/>
  <c r="T896" i="1"/>
  <c r="U896" i="1"/>
  <c r="Z896" i="1"/>
  <c r="AA896" i="1"/>
  <c r="B897" i="1"/>
  <c r="E897" i="1"/>
  <c r="K897" i="1"/>
  <c r="L897" i="1"/>
  <c r="M897" i="1"/>
  <c r="N897" i="1"/>
  <c r="T897" i="1"/>
  <c r="U897" i="1"/>
  <c r="Z897" i="1"/>
  <c r="AA897" i="1"/>
  <c r="B898" i="1"/>
  <c r="E898" i="1"/>
  <c r="K898" i="1"/>
  <c r="L898" i="1"/>
  <c r="M898" i="1"/>
  <c r="N898" i="1"/>
  <c r="T898" i="1"/>
  <c r="U898" i="1"/>
  <c r="Z898" i="1"/>
  <c r="AA898" i="1"/>
  <c r="B899" i="1"/>
  <c r="E899" i="1"/>
  <c r="K899" i="1"/>
  <c r="L899" i="1"/>
  <c r="M899" i="1"/>
  <c r="N899" i="1"/>
  <c r="T899" i="1"/>
  <c r="U899" i="1"/>
  <c r="Z899" i="1"/>
  <c r="AA899" i="1"/>
  <c r="B900" i="1"/>
  <c r="E900" i="1"/>
  <c r="K900" i="1"/>
  <c r="L900" i="1"/>
  <c r="M900" i="1"/>
  <c r="N900" i="1"/>
  <c r="T900" i="1"/>
  <c r="U900" i="1"/>
  <c r="Z900" i="1"/>
  <c r="AA900" i="1"/>
  <c r="B901" i="1"/>
  <c r="E901" i="1"/>
  <c r="K901" i="1"/>
  <c r="L901" i="1"/>
  <c r="M901" i="1"/>
  <c r="N901" i="1"/>
  <c r="T901" i="1"/>
  <c r="U901" i="1"/>
  <c r="Z901" i="1"/>
  <c r="AA901" i="1"/>
  <c r="B902" i="1"/>
  <c r="E902" i="1"/>
  <c r="K902" i="1"/>
  <c r="L902" i="1"/>
  <c r="M902" i="1"/>
  <c r="N902" i="1"/>
  <c r="T902" i="1"/>
  <c r="U902" i="1"/>
  <c r="Z902" i="1"/>
  <c r="AA902" i="1"/>
  <c r="B903" i="1"/>
  <c r="E903" i="1"/>
  <c r="K903" i="1"/>
  <c r="L903" i="1"/>
  <c r="M903" i="1"/>
  <c r="N903" i="1"/>
  <c r="T903" i="1"/>
  <c r="U903" i="1"/>
  <c r="Z903" i="1"/>
  <c r="AA903" i="1"/>
  <c r="B904" i="1"/>
  <c r="E904" i="1"/>
  <c r="K904" i="1"/>
  <c r="L904" i="1"/>
  <c r="M904" i="1"/>
  <c r="N904" i="1"/>
  <c r="T904" i="1"/>
  <c r="U904" i="1"/>
  <c r="Z904" i="1"/>
  <c r="AA904" i="1"/>
  <c r="B905" i="1"/>
  <c r="E905" i="1"/>
  <c r="K905" i="1"/>
  <c r="L905" i="1"/>
  <c r="M905" i="1"/>
  <c r="N905" i="1"/>
  <c r="T905" i="1"/>
  <c r="U905" i="1"/>
  <c r="Z905" i="1"/>
  <c r="AA905" i="1"/>
  <c r="B906" i="1"/>
  <c r="E906" i="1"/>
  <c r="K906" i="1"/>
  <c r="L906" i="1"/>
  <c r="M906" i="1"/>
  <c r="N906" i="1"/>
  <c r="T906" i="1"/>
  <c r="U906" i="1"/>
  <c r="Z906" i="1"/>
  <c r="AA906" i="1"/>
  <c r="B907" i="1"/>
  <c r="E907" i="1"/>
  <c r="K907" i="1"/>
  <c r="L907" i="1"/>
  <c r="M907" i="1"/>
  <c r="N907" i="1"/>
  <c r="T907" i="1"/>
  <c r="U907" i="1"/>
  <c r="Z907" i="1"/>
  <c r="AA907" i="1"/>
  <c r="B908" i="1"/>
  <c r="E908" i="1"/>
  <c r="K908" i="1"/>
  <c r="L908" i="1"/>
  <c r="M908" i="1"/>
  <c r="N908" i="1"/>
  <c r="T908" i="1"/>
  <c r="U908" i="1"/>
  <c r="Z908" i="1"/>
  <c r="AA908" i="1"/>
  <c r="B909" i="1"/>
  <c r="E909" i="1"/>
  <c r="K909" i="1"/>
  <c r="L909" i="1"/>
  <c r="M909" i="1"/>
  <c r="N909" i="1"/>
  <c r="T909" i="1"/>
  <c r="U909" i="1"/>
  <c r="Z909" i="1"/>
  <c r="AA909" i="1"/>
  <c r="B910" i="1"/>
  <c r="E910" i="1"/>
  <c r="K910" i="1"/>
  <c r="L910" i="1"/>
  <c r="M910" i="1"/>
  <c r="N910" i="1"/>
  <c r="T910" i="1"/>
  <c r="U910" i="1"/>
  <c r="Z910" i="1"/>
  <c r="AA910" i="1"/>
  <c r="B911" i="1"/>
  <c r="E911" i="1"/>
  <c r="K911" i="1"/>
  <c r="L911" i="1"/>
  <c r="M911" i="1"/>
  <c r="N911" i="1"/>
  <c r="T911" i="1"/>
  <c r="U911" i="1"/>
  <c r="Z911" i="1"/>
  <c r="AA911" i="1"/>
  <c r="B912" i="1"/>
  <c r="E912" i="1"/>
  <c r="K912" i="1"/>
  <c r="L912" i="1"/>
  <c r="M912" i="1"/>
  <c r="N912" i="1"/>
  <c r="T912" i="1"/>
  <c r="U912" i="1"/>
  <c r="Z912" i="1"/>
  <c r="AA912" i="1"/>
  <c r="B913" i="1"/>
  <c r="E913" i="1"/>
  <c r="K913" i="1"/>
  <c r="L913" i="1"/>
  <c r="M913" i="1"/>
  <c r="N913" i="1"/>
  <c r="T913" i="1"/>
  <c r="U913" i="1"/>
  <c r="Z913" i="1"/>
  <c r="AA913" i="1"/>
  <c r="B914" i="1"/>
  <c r="E914" i="1"/>
  <c r="K914" i="1"/>
  <c r="L914" i="1"/>
  <c r="M914" i="1"/>
  <c r="N914" i="1"/>
  <c r="T914" i="1"/>
  <c r="U914" i="1"/>
  <c r="Z914" i="1"/>
  <c r="AA914" i="1"/>
  <c r="B915" i="1"/>
  <c r="E915" i="1"/>
  <c r="K915" i="1"/>
  <c r="L915" i="1"/>
  <c r="M915" i="1"/>
  <c r="N915" i="1"/>
  <c r="T915" i="1"/>
  <c r="U915" i="1"/>
  <c r="Z915" i="1"/>
  <c r="AA915" i="1"/>
  <c r="B916" i="1"/>
  <c r="E916" i="1"/>
  <c r="K916" i="1"/>
  <c r="L916" i="1"/>
  <c r="M916" i="1"/>
  <c r="N916" i="1"/>
  <c r="T916" i="1"/>
  <c r="U916" i="1"/>
  <c r="Z916" i="1"/>
  <c r="AA916" i="1"/>
  <c r="B917" i="1"/>
  <c r="E917" i="1"/>
  <c r="K917" i="1"/>
  <c r="L917" i="1"/>
  <c r="M917" i="1"/>
  <c r="N917" i="1"/>
  <c r="T917" i="1"/>
  <c r="U917" i="1"/>
  <c r="Z917" i="1"/>
  <c r="AA917" i="1"/>
  <c r="B918" i="1"/>
  <c r="E918" i="1"/>
  <c r="K918" i="1"/>
  <c r="L918" i="1"/>
  <c r="M918" i="1"/>
  <c r="N918" i="1"/>
  <c r="T918" i="1"/>
  <c r="U918" i="1"/>
  <c r="Z918" i="1"/>
  <c r="AA918" i="1"/>
  <c r="B919" i="1"/>
  <c r="E919" i="1"/>
  <c r="K919" i="1"/>
  <c r="L919" i="1"/>
  <c r="M919" i="1"/>
  <c r="N919" i="1"/>
  <c r="T919" i="1"/>
  <c r="U919" i="1"/>
  <c r="Z919" i="1"/>
  <c r="AA919" i="1"/>
  <c r="B920" i="1"/>
  <c r="E920" i="1"/>
  <c r="K920" i="1"/>
  <c r="L920" i="1"/>
  <c r="M920" i="1"/>
  <c r="N920" i="1"/>
  <c r="T920" i="1"/>
  <c r="U920" i="1"/>
  <c r="Z920" i="1"/>
  <c r="AA920" i="1"/>
  <c r="B921" i="1"/>
  <c r="E921" i="1"/>
  <c r="K921" i="1"/>
  <c r="L921" i="1"/>
  <c r="M921" i="1"/>
  <c r="N921" i="1"/>
  <c r="T921" i="1"/>
  <c r="U921" i="1"/>
  <c r="Z921" i="1"/>
  <c r="AA921" i="1"/>
  <c r="B922" i="1"/>
  <c r="E922" i="1"/>
  <c r="K922" i="1"/>
  <c r="L922" i="1"/>
  <c r="M922" i="1"/>
  <c r="N922" i="1"/>
  <c r="T922" i="1"/>
  <c r="U922" i="1"/>
  <c r="Z922" i="1"/>
  <c r="AA922" i="1"/>
  <c r="B923" i="1"/>
  <c r="E923" i="1"/>
  <c r="K923" i="1"/>
  <c r="L923" i="1"/>
  <c r="M923" i="1"/>
  <c r="N923" i="1"/>
  <c r="T923" i="1"/>
  <c r="U923" i="1"/>
  <c r="Z923" i="1"/>
  <c r="AA923" i="1"/>
  <c r="B924" i="1"/>
  <c r="E924" i="1"/>
  <c r="K924" i="1"/>
  <c r="L924" i="1"/>
  <c r="M924" i="1"/>
  <c r="N924" i="1"/>
  <c r="T924" i="1"/>
  <c r="U924" i="1"/>
  <c r="Z924" i="1"/>
  <c r="AA924" i="1"/>
  <c r="B925" i="1"/>
  <c r="E925" i="1"/>
  <c r="K925" i="1"/>
  <c r="L925" i="1"/>
  <c r="M925" i="1"/>
  <c r="N925" i="1"/>
  <c r="T925" i="1"/>
  <c r="U925" i="1"/>
  <c r="Z925" i="1"/>
  <c r="AA925" i="1"/>
  <c r="B926" i="1"/>
  <c r="E926" i="1"/>
  <c r="K926" i="1"/>
  <c r="L926" i="1"/>
  <c r="M926" i="1"/>
  <c r="N926" i="1"/>
  <c r="T926" i="1"/>
  <c r="U926" i="1"/>
  <c r="Z926" i="1"/>
  <c r="AA926" i="1"/>
  <c r="B927" i="1"/>
  <c r="E927" i="1"/>
  <c r="K927" i="1"/>
  <c r="L927" i="1"/>
  <c r="M927" i="1"/>
  <c r="N927" i="1"/>
  <c r="T927" i="1"/>
  <c r="U927" i="1"/>
  <c r="Z927" i="1"/>
  <c r="AA927" i="1"/>
  <c r="B928" i="1"/>
  <c r="E928" i="1"/>
  <c r="K928" i="1"/>
  <c r="L928" i="1"/>
  <c r="M928" i="1"/>
  <c r="N928" i="1"/>
  <c r="T928" i="1"/>
  <c r="U928" i="1"/>
  <c r="Z928" i="1"/>
  <c r="AA928" i="1"/>
  <c r="B929" i="1"/>
  <c r="E929" i="1"/>
  <c r="K929" i="1"/>
  <c r="L929" i="1"/>
  <c r="M929" i="1"/>
  <c r="N929" i="1"/>
  <c r="T929" i="1"/>
  <c r="U929" i="1"/>
  <c r="Z929" i="1"/>
  <c r="AA929" i="1"/>
  <c r="B930" i="1"/>
  <c r="E930" i="1"/>
  <c r="K930" i="1"/>
  <c r="L930" i="1"/>
  <c r="M930" i="1"/>
  <c r="N930" i="1"/>
  <c r="T930" i="1"/>
  <c r="U930" i="1"/>
  <c r="Z930" i="1"/>
  <c r="AA930" i="1"/>
  <c r="B931" i="1"/>
  <c r="E931" i="1"/>
  <c r="K931" i="1"/>
  <c r="L931" i="1"/>
  <c r="M931" i="1"/>
  <c r="N931" i="1"/>
  <c r="T931" i="1"/>
  <c r="U931" i="1"/>
  <c r="Z931" i="1"/>
  <c r="AA931" i="1"/>
  <c r="B932" i="1"/>
  <c r="E932" i="1"/>
  <c r="K932" i="1"/>
  <c r="L932" i="1"/>
  <c r="M932" i="1"/>
  <c r="N932" i="1"/>
  <c r="T932" i="1"/>
  <c r="U932" i="1"/>
  <c r="Z932" i="1"/>
  <c r="AA932" i="1"/>
  <c r="B933" i="1"/>
  <c r="E933" i="1"/>
  <c r="K933" i="1"/>
  <c r="L933" i="1"/>
  <c r="M933" i="1"/>
  <c r="N933" i="1"/>
  <c r="T933" i="1"/>
  <c r="U933" i="1"/>
  <c r="Z933" i="1"/>
  <c r="AA933" i="1"/>
  <c r="B934" i="1"/>
  <c r="E934" i="1"/>
  <c r="K934" i="1"/>
  <c r="L934" i="1"/>
  <c r="M934" i="1"/>
  <c r="N934" i="1"/>
  <c r="T934" i="1"/>
  <c r="U934" i="1"/>
  <c r="Z934" i="1"/>
  <c r="AA934" i="1"/>
  <c r="B935" i="1"/>
  <c r="E935" i="1"/>
  <c r="K935" i="1"/>
  <c r="L935" i="1"/>
  <c r="M935" i="1"/>
  <c r="N935" i="1"/>
  <c r="T935" i="1"/>
  <c r="U935" i="1"/>
  <c r="Z935" i="1"/>
  <c r="AA935" i="1"/>
  <c r="B936" i="1"/>
  <c r="E936" i="1"/>
  <c r="K936" i="1"/>
  <c r="L936" i="1"/>
  <c r="M936" i="1"/>
  <c r="N936" i="1"/>
  <c r="T936" i="1"/>
  <c r="U936" i="1"/>
  <c r="Z936" i="1"/>
  <c r="AA936" i="1"/>
  <c r="B937" i="1"/>
  <c r="E937" i="1"/>
  <c r="K937" i="1"/>
  <c r="L937" i="1"/>
  <c r="M937" i="1"/>
  <c r="N937" i="1"/>
  <c r="T937" i="1"/>
  <c r="U937" i="1"/>
  <c r="Z937" i="1"/>
  <c r="AA937" i="1"/>
  <c r="B938" i="1"/>
  <c r="E938" i="1"/>
  <c r="K938" i="1"/>
  <c r="L938" i="1"/>
  <c r="M938" i="1"/>
  <c r="N938" i="1"/>
  <c r="T938" i="1"/>
  <c r="U938" i="1"/>
  <c r="Z938" i="1"/>
  <c r="AA938" i="1"/>
  <c r="B939" i="1"/>
  <c r="E939" i="1"/>
  <c r="K939" i="1"/>
  <c r="L939" i="1"/>
  <c r="M939" i="1"/>
  <c r="N939" i="1"/>
  <c r="T939" i="1"/>
  <c r="U939" i="1"/>
  <c r="Z939" i="1"/>
  <c r="AA939" i="1"/>
  <c r="B940" i="1"/>
  <c r="E940" i="1"/>
  <c r="K940" i="1"/>
  <c r="L940" i="1"/>
  <c r="M940" i="1"/>
  <c r="N940" i="1"/>
  <c r="T940" i="1"/>
  <c r="U940" i="1"/>
  <c r="Z940" i="1"/>
  <c r="AA940" i="1"/>
  <c r="B941" i="1"/>
  <c r="E941" i="1"/>
  <c r="K941" i="1"/>
  <c r="L941" i="1"/>
  <c r="M941" i="1"/>
  <c r="N941" i="1"/>
  <c r="T941" i="1"/>
  <c r="U941" i="1"/>
  <c r="Z941" i="1"/>
  <c r="AA941" i="1"/>
  <c r="B942" i="1"/>
  <c r="E942" i="1"/>
  <c r="K942" i="1"/>
  <c r="L942" i="1"/>
  <c r="M942" i="1"/>
  <c r="N942" i="1"/>
  <c r="T942" i="1"/>
  <c r="U942" i="1"/>
  <c r="Z942" i="1"/>
  <c r="AA942" i="1"/>
  <c r="B943" i="1"/>
  <c r="E943" i="1"/>
  <c r="K943" i="1"/>
  <c r="L943" i="1"/>
  <c r="M943" i="1"/>
  <c r="N943" i="1"/>
  <c r="T943" i="1"/>
  <c r="U943" i="1"/>
  <c r="Z943" i="1"/>
  <c r="AA943" i="1"/>
  <c r="B944" i="1"/>
  <c r="E944" i="1"/>
  <c r="K944" i="1"/>
  <c r="L944" i="1"/>
  <c r="M944" i="1"/>
  <c r="N944" i="1"/>
  <c r="T944" i="1"/>
  <c r="U944" i="1"/>
  <c r="Z944" i="1"/>
  <c r="AA944" i="1"/>
  <c r="B945" i="1"/>
  <c r="E945" i="1"/>
  <c r="K945" i="1"/>
  <c r="L945" i="1"/>
  <c r="M945" i="1"/>
  <c r="N945" i="1"/>
  <c r="T945" i="1"/>
  <c r="U945" i="1"/>
  <c r="Z945" i="1"/>
  <c r="AA945" i="1"/>
  <c r="B946" i="1"/>
  <c r="E946" i="1"/>
  <c r="K946" i="1"/>
  <c r="L946" i="1"/>
  <c r="M946" i="1"/>
  <c r="N946" i="1"/>
  <c r="T946" i="1"/>
  <c r="U946" i="1"/>
  <c r="Z946" i="1"/>
  <c r="AA946" i="1"/>
  <c r="B947" i="1"/>
  <c r="E947" i="1"/>
  <c r="K947" i="1"/>
  <c r="L947" i="1"/>
  <c r="M947" i="1"/>
  <c r="N947" i="1"/>
  <c r="T947" i="1"/>
  <c r="U947" i="1"/>
  <c r="Z947" i="1"/>
  <c r="AA947" i="1"/>
  <c r="B948" i="1"/>
  <c r="E948" i="1"/>
  <c r="K948" i="1"/>
  <c r="L948" i="1"/>
  <c r="M948" i="1"/>
  <c r="N948" i="1"/>
  <c r="T948" i="1"/>
  <c r="U948" i="1"/>
  <c r="Z948" i="1"/>
  <c r="AA948" i="1"/>
  <c r="B949" i="1"/>
  <c r="E949" i="1"/>
  <c r="K949" i="1"/>
  <c r="L949" i="1"/>
  <c r="M949" i="1"/>
  <c r="N949" i="1"/>
  <c r="T949" i="1"/>
  <c r="U949" i="1"/>
  <c r="Z949" i="1"/>
  <c r="AA949" i="1"/>
  <c r="B950" i="1"/>
  <c r="E950" i="1"/>
  <c r="K950" i="1"/>
  <c r="L950" i="1"/>
  <c r="M950" i="1"/>
  <c r="N950" i="1"/>
  <c r="T950" i="1"/>
  <c r="U950" i="1"/>
  <c r="Z950" i="1"/>
  <c r="AA950" i="1"/>
  <c r="B951" i="1"/>
  <c r="E951" i="1"/>
  <c r="K951" i="1"/>
  <c r="L951" i="1"/>
  <c r="M951" i="1"/>
  <c r="N951" i="1"/>
  <c r="T951" i="1"/>
  <c r="U951" i="1"/>
  <c r="Z951" i="1"/>
  <c r="AA951" i="1"/>
  <c r="B952" i="1"/>
  <c r="E952" i="1"/>
  <c r="K952" i="1"/>
  <c r="L952" i="1"/>
  <c r="M952" i="1"/>
  <c r="N952" i="1"/>
  <c r="T952" i="1"/>
  <c r="U952" i="1"/>
  <c r="Z952" i="1"/>
  <c r="AA952" i="1"/>
  <c r="B953" i="1"/>
  <c r="E953" i="1"/>
  <c r="K953" i="1"/>
  <c r="L953" i="1"/>
  <c r="M953" i="1"/>
  <c r="N953" i="1"/>
  <c r="T953" i="1"/>
  <c r="U953" i="1"/>
  <c r="Z953" i="1"/>
  <c r="AA953" i="1"/>
  <c r="B954" i="1"/>
  <c r="E954" i="1"/>
  <c r="K954" i="1"/>
  <c r="L954" i="1"/>
  <c r="M954" i="1"/>
  <c r="N954" i="1"/>
  <c r="T954" i="1"/>
  <c r="U954" i="1"/>
  <c r="Z954" i="1"/>
  <c r="AA954" i="1"/>
  <c r="B955" i="1"/>
  <c r="E955" i="1"/>
  <c r="K955" i="1"/>
  <c r="L955" i="1"/>
  <c r="M955" i="1"/>
  <c r="N955" i="1"/>
  <c r="T955" i="1"/>
  <c r="U955" i="1"/>
  <c r="Z955" i="1"/>
  <c r="AA955" i="1"/>
  <c r="B956" i="1"/>
  <c r="E956" i="1"/>
  <c r="K956" i="1"/>
  <c r="L956" i="1"/>
  <c r="M956" i="1"/>
  <c r="N956" i="1"/>
  <c r="T956" i="1"/>
  <c r="U956" i="1"/>
  <c r="Z956" i="1"/>
  <c r="AA956" i="1"/>
  <c r="B957" i="1"/>
  <c r="E957" i="1"/>
  <c r="K957" i="1"/>
  <c r="L957" i="1"/>
  <c r="M957" i="1"/>
  <c r="N957" i="1"/>
  <c r="T957" i="1"/>
  <c r="U957" i="1"/>
  <c r="Z957" i="1"/>
  <c r="AA957" i="1"/>
  <c r="B958" i="1"/>
  <c r="E958" i="1"/>
  <c r="K958" i="1"/>
  <c r="L958" i="1"/>
  <c r="M958" i="1"/>
  <c r="N958" i="1"/>
  <c r="T958" i="1"/>
  <c r="U958" i="1"/>
  <c r="Z958" i="1"/>
  <c r="AA958" i="1"/>
  <c r="B959" i="1"/>
  <c r="E959" i="1"/>
  <c r="K959" i="1"/>
  <c r="L959" i="1"/>
  <c r="M959" i="1"/>
  <c r="N959" i="1"/>
  <c r="T959" i="1"/>
  <c r="U959" i="1"/>
  <c r="Z959" i="1"/>
  <c r="AA959" i="1"/>
  <c r="B960" i="1"/>
  <c r="E960" i="1"/>
  <c r="K960" i="1"/>
  <c r="L960" i="1"/>
  <c r="M960" i="1"/>
  <c r="N960" i="1"/>
  <c r="T960" i="1"/>
  <c r="U960" i="1"/>
  <c r="Z960" i="1"/>
  <c r="AA960" i="1"/>
  <c r="B961" i="1"/>
  <c r="E961" i="1"/>
  <c r="K961" i="1"/>
  <c r="L961" i="1"/>
  <c r="M961" i="1"/>
  <c r="N961" i="1"/>
  <c r="T961" i="1"/>
  <c r="U961" i="1"/>
  <c r="Z961" i="1"/>
  <c r="AA961" i="1"/>
  <c r="B962" i="1"/>
  <c r="E962" i="1"/>
  <c r="K962" i="1"/>
  <c r="L962" i="1"/>
  <c r="M962" i="1"/>
  <c r="N962" i="1"/>
  <c r="T962" i="1"/>
  <c r="U962" i="1"/>
  <c r="Z962" i="1"/>
  <c r="AA962" i="1"/>
  <c r="B963" i="1"/>
  <c r="E963" i="1"/>
  <c r="K963" i="1"/>
  <c r="L963" i="1"/>
  <c r="M963" i="1"/>
  <c r="N963" i="1"/>
  <c r="T963" i="1"/>
  <c r="U963" i="1"/>
  <c r="Z963" i="1"/>
  <c r="AA963" i="1"/>
  <c r="B964" i="1"/>
  <c r="E964" i="1"/>
  <c r="K964" i="1"/>
  <c r="L964" i="1"/>
  <c r="M964" i="1"/>
  <c r="N964" i="1"/>
  <c r="T964" i="1"/>
  <c r="U964" i="1"/>
  <c r="Z964" i="1"/>
  <c r="AA964" i="1"/>
  <c r="B965" i="1"/>
  <c r="E965" i="1"/>
  <c r="K965" i="1"/>
  <c r="L965" i="1"/>
  <c r="M965" i="1"/>
  <c r="N965" i="1"/>
  <c r="T965" i="1"/>
  <c r="U965" i="1"/>
  <c r="Z965" i="1"/>
  <c r="AA965" i="1"/>
  <c r="B966" i="1"/>
  <c r="E966" i="1"/>
  <c r="K966" i="1"/>
  <c r="L966" i="1"/>
  <c r="M966" i="1"/>
  <c r="N966" i="1"/>
  <c r="T966" i="1"/>
  <c r="U966" i="1"/>
  <c r="Z966" i="1"/>
  <c r="AA966" i="1"/>
  <c r="B967" i="1"/>
  <c r="E967" i="1"/>
  <c r="K967" i="1"/>
  <c r="L967" i="1"/>
  <c r="M967" i="1"/>
  <c r="N967" i="1"/>
  <c r="T967" i="1"/>
  <c r="U967" i="1"/>
  <c r="Z967" i="1"/>
  <c r="AA967" i="1"/>
  <c r="B968" i="1"/>
  <c r="E968" i="1"/>
  <c r="K968" i="1"/>
  <c r="L968" i="1"/>
  <c r="M968" i="1"/>
  <c r="N968" i="1"/>
  <c r="T968" i="1"/>
  <c r="U968" i="1"/>
  <c r="Z968" i="1"/>
  <c r="AA968" i="1"/>
  <c r="B969" i="1"/>
  <c r="E969" i="1"/>
  <c r="K969" i="1"/>
  <c r="L969" i="1"/>
  <c r="M969" i="1"/>
  <c r="N969" i="1"/>
  <c r="T969" i="1"/>
  <c r="U969" i="1"/>
  <c r="Z969" i="1"/>
  <c r="AA969" i="1"/>
  <c r="B970" i="1"/>
  <c r="E970" i="1"/>
  <c r="K970" i="1"/>
  <c r="L970" i="1"/>
  <c r="M970" i="1"/>
  <c r="N970" i="1"/>
  <c r="T970" i="1"/>
  <c r="U970" i="1"/>
  <c r="Z970" i="1"/>
  <c r="AA970" i="1"/>
  <c r="B971" i="1"/>
  <c r="E971" i="1"/>
  <c r="K971" i="1"/>
  <c r="L971" i="1"/>
  <c r="M971" i="1"/>
  <c r="N971" i="1"/>
  <c r="T971" i="1"/>
  <c r="U971" i="1"/>
  <c r="Z971" i="1"/>
  <c r="AA971" i="1"/>
  <c r="B972" i="1"/>
  <c r="E972" i="1"/>
  <c r="K972" i="1"/>
  <c r="L972" i="1"/>
  <c r="M972" i="1"/>
  <c r="N972" i="1"/>
  <c r="T972" i="1"/>
  <c r="U972" i="1"/>
  <c r="Z972" i="1"/>
  <c r="AA972" i="1"/>
  <c r="B973" i="1"/>
  <c r="E973" i="1"/>
  <c r="K973" i="1"/>
  <c r="L973" i="1"/>
  <c r="M973" i="1"/>
  <c r="N973" i="1"/>
  <c r="T973" i="1"/>
  <c r="U973" i="1"/>
  <c r="Z973" i="1"/>
  <c r="AA973" i="1"/>
  <c r="B974" i="1"/>
  <c r="E974" i="1"/>
  <c r="K974" i="1"/>
  <c r="L974" i="1"/>
  <c r="M974" i="1"/>
  <c r="N974" i="1"/>
  <c r="T974" i="1"/>
  <c r="U974" i="1"/>
  <c r="Z974" i="1"/>
  <c r="AA974" i="1"/>
  <c r="B975" i="1"/>
  <c r="E975" i="1"/>
  <c r="K975" i="1"/>
  <c r="L975" i="1"/>
  <c r="M975" i="1"/>
  <c r="N975" i="1"/>
  <c r="T975" i="1"/>
  <c r="U975" i="1"/>
  <c r="Z975" i="1"/>
  <c r="AA975" i="1"/>
  <c r="B976" i="1"/>
  <c r="E976" i="1"/>
  <c r="K976" i="1"/>
  <c r="L976" i="1"/>
  <c r="M976" i="1"/>
  <c r="N976" i="1"/>
  <c r="T976" i="1"/>
  <c r="U976" i="1"/>
  <c r="Z976" i="1"/>
  <c r="AA976" i="1"/>
  <c r="B977" i="1"/>
  <c r="E977" i="1"/>
  <c r="K977" i="1"/>
  <c r="L977" i="1"/>
  <c r="M977" i="1"/>
  <c r="N977" i="1"/>
  <c r="T977" i="1"/>
  <c r="U977" i="1"/>
  <c r="Z977" i="1"/>
  <c r="AA977" i="1"/>
  <c r="B978" i="1"/>
  <c r="E978" i="1"/>
  <c r="K978" i="1"/>
  <c r="L978" i="1"/>
  <c r="M978" i="1"/>
  <c r="N978" i="1"/>
  <c r="T978" i="1"/>
  <c r="U978" i="1"/>
  <c r="Z978" i="1"/>
  <c r="AA978" i="1"/>
  <c r="B979" i="1"/>
  <c r="E979" i="1"/>
  <c r="K979" i="1"/>
  <c r="L979" i="1"/>
  <c r="M979" i="1"/>
  <c r="N979" i="1"/>
  <c r="T979" i="1"/>
  <c r="U979" i="1"/>
  <c r="Z979" i="1"/>
  <c r="AA979" i="1"/>
  <c r="B980" i="1"/>
  <c r="E980" i="1"/>
  <c r="K980" i="1"/>
  <c r="L980" i="1"/>
  <c r="M980" i="1"/>
  <c r="N980" i="1"/>
  <c r="T980" i="1"/>
  <c r="U980" i="1"/>
  <c r="Z980" i="1"/>
  <c r="AA980" i="1"/>
  <c r="B981" i="1"/>
  <c r="E981" i="1"/>
  <c r="K981" i="1"/>
  <c r="L981" i="1"/>
  <c r="M981" i="1"/>
  <c r="N981" i="1"/>
  <c r="T981" i="1"/>
  <c r="U981" i="1"/>
  <c r="Z981" i="1"/>
  <c r="AA981" i="1"/>
  <c r="B982" i="1"/>
  <c r="E982" i="1"/>
  <c r="K982" i="1"/>
  <c r="L982" i="1"/>
  <c r="M982" i="1"/>
  <c r="N982" i="1"/>
  <c r="T982" i="1"/>
  <c r="U982" i="1"/>
  <c r="Z982" i="1"/>
  <c r="AA982" i="1"/>
  <c r="B983" i="1"/>
  <c r="E983" i="1"/>
  <c r="K983" i="1"/>
  <c r="L983" i="1"/>
  <c r="M983" i="1"/>
  <c r="N983" i="1"/>
  <c r="T983" i="1"/>
  <c r="U983" i="1"/>
  <c r="Z983" i="1"/>
  <c r="AA983" i="1"/>
  <c r="B984" i="1"/>
  <c r="E984" i="1"/>
  <c r="K984" i="1"/>
  <c r="L984" i="1"/>
  <c r="M984" i="1"/>
  <c r="N984" i="1"/>
  <c r="T984" i="1"/>
  <c r="U984" i="1"/>
  <c r="Z984" i="1"/>
  <c r="AA984" i="1"/>
  <c r="B985" i="1"/>
  <c r="E985" i="1"/>
  <c r="K985" i="1"/>
  <c r="L985" i="1"/>
  <c r="M985" i="1"/>
  <c r="N985" i="1"/>
  <c r="T985" i="1"/>
  <c r="U985" i="1"/>
  <c r="Z985" i="1"/>
  <c r="AA985" i="1"/>
  <c r="B986" i="1"/>
  <c r="E986" i="1"/>
  <c r="K986" i="1"/>
  <c r="L986" i="1"/>
  <c r="M986" i="1"/>
  <c r="N986" i="1"/>
  <c r="T986" i="1"/>
  <c r="U986" i="1"/>
  <c r="Z986" i="1"/>
  <c r="AA986" i="1"/>
  <c r="B987" i="1"/>
  <c r="E987" i="1"/>
  <c r="K987" i="1"/>
  <c r="L987" i="1"/>
  <c r="M987" i="1"/>
  <c r="N987" i="1"/>
  <c r="T987" i="1"/>
  <c r="U987" i="1"/>
  <c r="Z987" i="1"/>
  <c r="AA987" i="1"/>
  <c r="B988" i="1"/>
  <c r="E988" i="1"/>
  <c r="K988" i="1"/>
  <c r="L988" i="1"/>
  <c r="M988" i="1"/>
  <c r="N988" i="1"/>
  <c r="T988" i="1"/>
  <c r="U988" i="1"/>
  <c r="Z988" i="1"/>
  <c r="AA988" i="1"/>
  <c r="B989" i="1"/>
  <c r="E989" i="1"/>
  <c r="K989" i="1"/>
  <c r="L989" i="1"/>
  <c r="M989" i="1"/>
  <c r="N989" i="1"/>
  <c r="T989" i="1"/>
  <c r="U989" i="1"/>
  <c r="Z989" i="1"/>
  <c r="AA989" i="1"/>
  <c r="B990" i="1"/>
  <c r="E990" i="1"/>
  <c r="K990" i="1"/>
  <c r="L990" i="1"/>
  <c r="M990" i="1"/>
  <c r="N990" i="1"/>
  <c r="T990" i="1"/>
  <c r="U990" i="1"/>
  <c r="Z990" i="1"/>
  <c r="AA990" i="1"/>
  <c r="B991" i="1"/>
  <c r="E991" i="1"/>
  <c r="K991" i="1"/>
  <c r="L991" i="1"/>
  <c r="M991" i="1"/>
  <c r="N991" i="1"/>
  <c r="T991" i="1"/>
  <c r="U991" i="1"/>
  <c r="Z991" i="1"/>
  <c r="AA991" i="1"/>
  <c r="B992" i="1"/>
  <c r="E992" i="1"/>
  <c r="K992" i="1"/>
  <c r="L992" i="1"/>
  <c r="M992" i="1"/>
  <c r="N992" i="1"/>
  <c r="T992" i="1"/>
  <c r="U992" i="1"/>
  <c r="Z992" i="1"/>
  <c r="AA992" i="1"/>
  <c r="B993" i="1"/>
  <c r="E993" i="1"/>
  <c r="K993" i="1"/>
  <c r="L993" i="1"/>
  <c r="M993" i="1"/>
  <c r="N993" i="1"/>
  <c r="T993" i="1"/>
  <c r="U993" i="1"/>
  <c r="Z993" i="1"/>
  <c r="AA993" i="1"/>
  <c r="B994" i="1"/>
  <c r="E994" i="1"/>
  <c r="K994" i="1"/>
  <c r="L994" i="1"/>
  <c r="M994" i="1"/>
  <c r="N994" i="1"/>
  <c r="T994" i="1"/>
  <c r="U994" i="1"/>
  <c r="Z994" i="1"/>
  <c r="AA994" i="1"/>
  <c r="B995" i="1"/>
  <c r="E995" i="1"/>
  <c r="K995" i="1"/>
  <c r="L995" i="1"/>
  <c r="M995" i="1"/>
  <c r="N995" i="1"/>
  <c r="T995" i="1"/>
  <c r="U995" i="1"/>
  <c r="Z995" i="1"/>
  <c r="AA995" i="1"/>
  <c r="B996" i="1"/>
  <c r="E996" i="1"/>
  <c r="K996" i="1"/>
  <c r="L996" i="1"/>
  <c r="M996" i="1"/>
  <c r="N996" i="1"/>
  <c r="T996" i="1"/>
  <c r="U996" i="1"/>
  <c r="Z996" i="1"/>
  <c r="AA996" i="1"/>
  <c r="B997" i="1"/>
  <c r="E997" i="1"/>
  <c r="K997" i="1"/>
  <c r="L997" i="1"/>
  <c r="M997" i="1"/>
  <c r="N997" i="1"/>
  <c r="T997" i="1"/>
  <c r="U997" i="1"/>
  <c r="Z997" i="1"/>
  <c r="AA997" i="1"/>
  <c r="B998" i="1"/>
  <c r="E998" i="1"/>
  <c r="K998" i="1"/>
  <c r="L998" i="1"/>
  <c r="M998" i="1"/>
  <c r="N998" i="1"/>
  <c r="T998" i="1"/>
  <c r="U998" i="1"/>
  <c r="Z998" i="1"/>
  <c r="AA998" i="1"/>
  <c r="B999" i="1"/>
  <c r="E999" i="1"/>
  <c r="K999" i="1"/>
  <c r="L999" i="1"/>
  <c r="M999" i="1"/>
  <c r="N999" i="1"/>
  <c r="T999" i="1"/>
  <c r="U999" i="1"/>
  <c r="Z999" i="1"/>
  <c r="AA999" i="1"/>
  <c r="B1000" i="1"/>
  <c r="E1000" i="1"/>
  <c r="K1000" i="1"/>
  <c r="L1000" i="1"/>
  <c r="M1000" i="1"/>
  <c r="N1000" i="1"/>
  <c r="T1000" i="1"/>
  <c r="U1000" i="1"/>
  <c r="Z1000" i="1"/>
  <c r="AA1000" i="1"/>
  <c r="B1001" i="1"/>
  <c r="E1001" i="1"/>
  <c r="K1001" i="1"/>
  <c r="L1001" i="1"/>
  <c r="M1001" i="1"/>
  <c r="N1001" i="1"/>
  <c r="T1001" i="1"/>
  <c r="U1001" i="1"/>
  <c r="Z1001" i="1"/>
  <c r="AA1001" i="1"/>
  <c r="B1002" i="1"/>
  <c r="E1002" i="1"/>
  <c r="K1002" i="1"/>
  <c r="L1002" i="1"/>
  <c r="M1002" i="1"/>
  <c r="N1002" i="1"/>
  <c r="T1002" i="1"/>
  <c r="U1002" i="1"/>
  <c r="Z1002" i="1"/>
  <c r="AA1002" i="1"/>
  <c r="B1003" i="1"/>
  <c r="E1003" i="1"/>
  <c r="K1003" i="1"/>
  <c r="L1003" i="1"/>
  <c r="M1003" i="1"/>
  <c r="N1003" i="1"/>
  <c r="T1003" i="1"/>
  <c r="U1003" i="1"/>
  <c r="Z1003" i="1"/>
  <c r="AA1003" i="1"/>
  <c r="B1004" i="1"/>
  <c r="E1004" i="1"/>
  <c r="K1004" i="1"/>
  <c r="L1004" i="1"/>
  <c r="M1004" i="1"/>
  <c r="N1004" i="1"/>
  <c r="T1004" i="1"/>
  <c r="U1004" i="1"/>
  <c r="Z1004" i="1"/>
  <c r="AA1004" i="1"/>
  <c r="B1005" i="1"/>
  <c r="E1005" i="1"/>
  <c r="K1005" i="1"/>
  <c r="L1005" i="1"/>
  <c r="M1005" i="1"/>
  <c r="N1005" i="1"/>
  <c r="T1005" i="1"/>
  <c r="U1005" i="1"/>
  <c r="Z1005" i="1"/>
  <c r="AA1005" i="1"/>
  <c r="B1006" i="1"/>
  <c r="E1006" i="1"/>
  <c r="K1006" i="1"/>
  <c r="L1006" i="1"/>
  <c r="M1006" i="1"/>
  <c r="N1006" i="1"/>
  <c r="T1006" i="1"/>
  <c r="U1006" i="1"/>
  <c r="Z1006" i="1"/>
  <c r="AA1006" i="1"/>
  <c r="B1007" i="1"/>
  <c r="E1007" i="1"/>
  <c r="K1007" i="1"/>
  <c r="L1007" i="1"/>
  <c r="M1007" i="1"/>
  <c r="N1007" i="1"/>
  <c r="T1007" i="1"/>
  <c r="U1007" i="1"/>
  <c r="Z1007" i="1"/>
  <c r="AA1007" i="1"/>
  <c r="B1008" i="1"/>
  <c r="E1008" i="1"/>
  <c r="K1008" i="1"/>
  <c r="L1008" i="1"/>
  <c r="M1008" i="1"/>
  <c r="N1008" i="1"/>
  <c r="T1008" i="1"/>
  <c r="U1008" i="1"/>
  <c r="Z1008" i="1"/>
  <c r="AA1008" i="1"/>
  <c r="B1009" i="1"/>
  <c r="E1009" i="1"/>
  <c r="K1009" i="1"/>
  <c r="L1009" i="1"/>
  <c r="M1009" i="1"/>
  <c r="N1009" i="1"/>
  <c r="T1009" i="1"/>
  <c r="U1009" i="1"/>
  <c r="Z1009" i="1"/>
  <c r="AA1009" i="1"/>
  <c r="B1010" i="1"/>
  <c r="E1010" i="1"/>
  <c r="K1010" i="1"/>
  <c r="L1010" i="1"/>
  <c r="M1010" i="1"/>
  <c r="N1010" i="1"/>
  <c r="T1010" i="1"/>
  <c r="U1010" i="1"/>
  <c r="Z1010" i="1"/>
  <c r="AA1010" i="1"/>
  <c r="B1011" i="1"/>
  <c r="E1011" i="1"/>
  <c r="K1011" i="1"/>
  <c r="L1011" i="1"/>
  <c r="M1011" i="1"/>
  <c r="N1011" i="1"/>
  <c r="T1011" i="1"/>
  <c r="U1011" i="1"/>
  <c r="Z1011" i="1"/>
  <c r="AA1011" i="1"/>
  <c r="B1012" i="1"/>
  <c r="E1012" i="1"/>
  <c r="K1012" i="1"/>
  <c r="L1012" i="1"/>
  <c r="M1012" i="1"/>
  <c r="N1012" i="1"/>
  <c r="T1012" i="1"/>
  <c r="U1012" i="1"/>
  <c r="Z1012" i="1"/>
  <c r="AA1012" i="1"/>
  <c r="B1013" i="1"/>
  <c r="E1013" i="1"/>
  <c r="K1013" i="1"/>
  <c r="L1013" i="1"/>
  <c r="M1013" i="1"/>
  <c r="N1013" i="1"/>
  <c r="T1013" i="1"/>
  <c r="U1013" i="1"/>
  <c r="Z1013" i="1"/>
  <c r="AA1013" i="1"/>
  <c r="B1014" i="1"/>
  <c r="E1014" i="1"/>
  <c r="K1014" i="1"/>
  <c r="L1014" i="1"/>
  <c r="M1014" i="1"/>
  <c r="N1014" i="1"/>
  <c r="T1014" i="1"/>
  <c r="U1014" i="1"/>
  <c r="Z1014" i="1"/>
  <c r="AA1014" i="1"/>
  <c r="B1015" i="1"/>
  <c r="E1015" i="1"/>
  <c r="K1015" i="1"/>
  <c r="L1015" i="1"/>
  <c r="M1015" i="1"/>
  <c r="N1015" i="1"/>
  <c r="T1015" i="1"/>
  <c r="U1015" i="1"/>
  <c r="Z1015" i="1"/>
  <c r="AA1015" i="1"/>
  <c r="B1016" i="1"/>
  <c r="E1016" i="1"/>
  <c r="K1016" i="1"/>
  <c r="L1016" i="1"/>
  <c r="M1016" i="1"/>
  <c r="N1016" i="1"/>
  <c r="T1016" i="1"/>
  <c r="U1016" i="1"/>
  <c r="Z1016" i="1"/>
  <c r="AA1016" i="1"/>
  <c r="B1017" i="1"/>
  <c r="E1017" i="1"/>
  <c r="K1017" i="1"/>
  <c r="L1017" i="1"/>
  <c r="M1017" i="1"/>
  <c r="N1017" i="1"/>
  <c r="T1017" i="1"/>
  <c r="U1017" i="1"/>
  <c r="Z1017" i="1"/>
  <c r="AA1017" i="1"/>
  <c r="B1018" i="1"/>
  <c r="E1018" i="1"/>
  <c r="K1018" i="1"/>
  <c r="L1018" i="1"/>
  <c r="M1018" i="1"/>
  <c r="N1018" i="1"/>
  <c r="T1018" i="1"/>
  <c r="U1018" i="1"/>
  <c r="Z1018" i="1"/>
  <c r="AA1018" i="1"/>
  <c r="B1019" i="1"/>
  <c r="E1019" i="1"/>
  <c r="K1019" i="1"/>
  <c r="L1019" i="1"/>
  <c r="M1019" i="1"/>
  <c r="N1019" i="1"/>
  <c r="T1019" i="1"/>
  <c r="U1019" i="1"/>
  <c r="Z1019" i="1"/>
  <c r="AA1019" i="1"/>
  <c r="B1020" i="1"/>
  <c r="E1020" i="1"/>
  <c r="K1020" i="1"/>
  <c r="L1020" i="1"/>
  <c r="M1020" i="1"/>
  <c r="N1020" i="1"/>
  <c r="T1020" i="1"/>
  <c r="U1020" i="1"/>
  <c r="Z1020" i="1"/>
  <c r="AA1020" i="1"/>
  <c r="B1021" i="1"/>
  <c r="E1021" i="1"/>
  <c r="K1021" i="1"/>
  <c r="L1021" i="1"/>
  <c r="M1021" i="1"/>
  <c r="N1021" i="1"/>
  <c r="T1021" i="1"/>
  <c r="U1021" i="1"/>
  <c r="Z1021" i="1"/>
  <c r="AA1021" i="1"/>
  <c r="B1022" i="1"/>
  <c r="E1022" i="1"/>
  <c r="K1022" i="1"/>
  <c r="L1022" i="1"/>
  <c r="M1022" i="1"/>
  <c r="N1022" i="1"/>
  <c r="T1022" i="1"/>
  <c r="U1022" i="1"/>
  <c r="Z1022" i="1"/>
  <c r="AA1022" i="1"/>
  <c r="B1023" i="1"/>
  <c r="E1023" i="1"/>
  <c r="K1023" i="1"/>
  <c r="L1023" i="1"/>
  <c r="M1023" i="1"/>
  <c r="N1023" i="1"/>
  <c r="T1023" i="1"/>
  <c r="U1023" i="1"/>
  <c r="Z1023" i="1"/>
  <c r="AA1023" i="1"/>
  <c r="B1024" i="1"/>
  <c r="E1024" i="1"/>
  <c r="K1024" i="1"/>
  <c r="L1024" i="1"/>
  <c r="M1024" i="1"/>
  <c r="N1024" i="1"/>
  <c r="T1024" i="1"/>
  <c r="U1024" i="1"/>
  <c r="Z1024" i="1"/>
  <c r="AA1024" i="1"/>
  <c r="B1025" i="1"/>
  <c r="E1025" i="1"/>
  <c r="K1025" i="1"/>
  <c r="L1025" i="1"/>
  <c r="M1025" i="1"/>
  <c r="N1025" i="1"/>
  <c r="T1025" i="1"/>
  <c r="U1025" i="1"/>
  <c r="Z1025" i="1"/>
  <c r="AA1025" i="1"/>
  <c r="B1026" i="1"/>
  <c r="E1026" i="1"/>
  <c r="K1026" i="1"/>
  <c r="L1026" i="1"/>
  <c r="M1026" i="1"/>
  <c r="N1026" i="1"/>
  <c r="T1026" i="1"/>
  <c r="U1026" i="1"/>
  <c r="Z1026" i="1"/>
  <c r="AA1026" i="1"/>
  <c r="B1027" i="1"/>
  <c r="E1027" i="1"/>
  <c r="K1027" i="1"/>
  <c r="L1027" i="1"/>
  <c r="M1027" i="1"/>
  <c r="N1027" i="1"/>
  <c r="T1027" i="1"/>
  <c r="U1027" i="1"/>
  <c r="Z1027" i="1"/>
  <c r="AA1027" i="1"/>
  <c r="B1028" i="1"/>
  <c r="E1028" i="1"/>
  <c r="K1028" i="1"/>
  <c r="L1028" i="1"/>
  <c r="M1028" i="1"/>
  <c r="N1028" i="1"/>
  <c r="T1028" i="1"/>
  <c r="U1028" i="1"/>
  <c r="Z1028" i="1"/>
  <c r="AA1028" i="1"/>
  <c r="B1029" i="1"/>
  <c r="E1029" i="1"/>
  <c r="K1029" i="1"/>
  <c r="L1029" i="1"/>
  <c r="M1029" i="1"/>
  <c r="N1029" i="1"/>
  <c r="T1029" i="1"/>
  <c r="U1029" i="1"/>
  <c r="Z1029" i="1"/>
  <c r="AA1029" i="1"/>
  <c r="B1030" i="1"/>
  <c r="E1030" i="1"/>
  <c r="K1030" i="1"/>
  <c r="L1030" i="1"/>
  <c r="M1030" i="1"/>
  <c r="N1030" i="1"/>
  <c r="T1030" i="1"/>
  <c r="U1030" i="1"/>
  <c r="Z1030" i="1"/>
  <c r="AA1030" i="1"/>
  <c r="B1031" i="1"/>
  <c r="E1031" i="1"/>
  <c r="K1031" i="1"/>
  <c r="L1031" i="1"/>
  <c r="M1031" i="1"/>
  <c r="N1031" i="1"/>
  <c r="T1031" i="1"/>
  <c r="U1031" i="1"/>
  <c r="Z1031" i="1"/>
  <c r="AA1031" i="1"/>
  <c r="B1032" i="1"/>
  <c r="E1032" i="1"/>
  <c r="K1032" i="1"/>
  <c r="L1032" i="1"/>
  <c r="M1032" i="1"/>
  <c r="N1032" i="1"/>
  <c r="T1032" i="1"/>
  <c r="U1032" i="1"/>
  <c r="Z1032" i="1"/>
  <c r="AA1032" i="1"/>
  <c r="B1033" i="1"/>
  <c r="E1033" i="1"/>
  <c r="K1033" i="1"/>
  <c r="L1033" i="1"/>
  <c r="M1033" i="1"/>
  <c r="N1033" i="1"/>
  <c r="T1033" i="1"/>
  <c r="U1033" i="1"/>
  <c r="Z1033" i="1"/>
  <c r="AA1033" i="1"/>
  <c r="B1034" i="1"/>
  <c r="E1034" i="1"/>
  <c r="K1034" i="1"/>
  <c r="L1034" i="1"/>
  <c r="M1034" i="1"/>
  <c r="N1034" i="1"/>
  <c r="T1034" i="1"/>
  <c r="U1034" i="1"/>
  <c r="Z1034" i="1"/>
  <c r="AA1034" i="1"/>
  <c r="B1035" i="1"/>
  <c r="E1035" i="1"/>
  <c r="K1035" i="1"/>
  <c r="L1035" i="1"/>
  <c r="M1035" i="1"/>
  <c r="N1035" i="1"/>
  <c r="T1035" i="1"/>
  <c r="U1035" i="1"/>
  <c r="Z1035" i="1"/>
  <c r="AA1035" i="1"/>
  <c r="B1036" i="1"/>
  <c r="E1036" i="1"/>
  <c r="K1036" i="1"/>
  <c r="L1036" i="1"/>
  <c r="M1036" i="1"/>
  <c r="N1036" i="1"/>
  <c r="T1036" i="1"/>
  <c r="U1036" i="1"/>
  <c r="Z1036" i="1"/>
  <c r="AA1036" i="1"/>
  <c r="B1037" i="1"/>
  <c r="E1037" i="1"/>
  <c r="K1037" i="1"/>
  <c r="L1037" i="1"/>
  <c r="M1037" i="1"/>
  <c r="N1037" i="1"/>
  <c r="T1037" i="1"/>
  <c r="U1037" i="1"/>
  <c r="Z1037" i="1"/>
  <c r="AA1037" i="1"/>
  <c r="B1038" i="1"/>
  <c r="E1038" i="1"/>
  <c r="K1038" i="1"/>
  <c r="L1038" i="1"/>
  <c r="M1038" i="1"/>
  <c r="N1038" i="1"/>
  <c r="T1038" i="1"/>
  <c r="U1038" i="1"/>
  <c r="Z1038" i="1"/>
  <c r="AA1038" i="1"/>
  <c r="B1039" i="1"/>
  <c r="E1039" i="1"/>
  <c r="K1039" i="1"/>
  <c r="L1039" i="1"/>
  <c r="M1039" i="1"/>
  <c r="N1039" i="1"/>
  <c r="T1039" i="1"/>
  <c r="U1039" i="1"/>
  <c r="Z1039" i="1"/>
  <c r="AA1039" i="1"/>
  <c r="B1040" i="1"/>
  <c r="E1040" i="1"/>
  <c r="K1040" i="1"/>
  <c r="L1040" i="1"/>
  <c r="M1040" i="1"/>
  <c r="N1040" i="1"/>
  <c r="T1040" i="1"/>
  <c r="U1040" i="1"/>
  <c r="Z1040" i="1"/>
  <c r="AA1040" i="1"/>
  <c r="B1041" i="1"/>
  <c r="E1041" i="1"/>
  <c r="K1041" i="1"/>
  <c r="L1041" i="1"/>
  <c r="M1041" i="1"/>
  <c r="N1041" i="1"/>
  <c r="T1041" i="1"/>
  <c r="U1041" i="1"/>
  <c r="Z1041" i="1"/>
  <c r="AA1041" i="1"/>
  <c r="B1042" i="1"/>
  <c r="E1042" i="1"/>
  <c r="K1042" i="1"/>
  <c r="L1042" i="1"/>
  <c r="M1042" i="1"/>
  <c r="N1042" i="1"/>
  <c r="T1042" i="1"/>
  <c r="U1042" i="1"/>
  <c r="Z1042" i="1"/>
  <c r="AA1042" i="1"/>
  <c r="B1043" i="1"/>
  <c r="E1043" i="1"/>
  <c r="K1043" i="1"/>
  <c r="L1043" i="1"/>
  <c r="M1043" i="1"/>
  <c r="N1043" i="1"/>
  <c r="T1043" i="1"/>
  <c r="U1043" i="1"/>
  <c r="Z1043" i="1"/>
  <c r="AA1043" i="1"/>
  <c r="B1044" i="1"/>
  <c r="E1044" i="1"/>
  <c r="K1044" i="1"/>
  <c r="L1044" i="1"/>
  <c r="M1044" i="1"/>
  <c r="N1044" i="1"/>
  <c r="T1044" i="1"/>
  <c r="U1044" i="1"/>
  <c r="Z1044" i="1"/>
  <c r="AA1044" i="1"/>
  <c r="B1045" i="1"/>
  <c r="E1045" i="1"/>
  <c r="K1045" i="1"/>
  <c r="L1045" i="1"/>
  <c r="M1045" i="1"/>
  <c r="N1045" i="1"/>
  <c r="T1045" i="1"/>
  <c r="U1045" i="1"/>
  <c r="Z1045" i="1"/>
  <c r="AA1045" i="1"/>
  <c r="B1046" i="1"/>
  <c r="E1046" i="1"/>
  <c r="K1046" i="1"/>
  <c r="L1046" i="1"/>
  <c r="M1046" i="1"/>
  <c r="N1046" i="1"/>
  <c r="T1046" i="1"/>
  <c r="U1046" i="1"/>
  <c r="Z1046" i="1"/>
  <c r="AA1046" i="1"/>
  <c r="B1047" i="1"/>
  <c r="E1047" i="1"/>
  <c r="K1047" i="1"/>
  <c r="L1047" i="1"/>
  <c r="M1047" i="1"/>
  <c r="N1047" i="1"/>
  <c r="T1047" i="1"/>
  <c r="U1047" i="1"/>
  <c r="Z1047" i="1"/>
  <c r="AA1047" i="1"/>
  <c r="B1048" i="1"/>
  <c r="E1048" i="1"/>
  <c r="K1048" i="1"/>
  <c r="L1048" i="1"/>
  <c r="M1048" i="1"/>
  <c r="N1048" i="1"/>
  <c r="T1048" i="1"/>
  <c r="U1048" i="1"/>
  <c r="Z1048" i="1"/>
  <c r="AA1048" i="1"/>
  <c r="B1049" i="1"/>
  <c r="E1049" i="1"/>
  <c r="K1049" i="1"/>
  <c r="L1049" i="1"/>
  <c r="M1049" i="1"/>
  <c r="N1049" i="1"/>
  <c r="T1049" i="1"/>
  <c r="U1049" i="1"/>
  <c r="Z1049" i="1"/>
  <c r="AA1049" i="1"/>
  <c r="B1050" i="1"/>
  <c r="E1050" i="1"/>
  <c r="K1050" i="1"/>
  <c r="L1050" i="1"/>
  <c r="M1050" i="1"/>
  <c r="N1050" i="1"/>
  <c r="T1050" i="1"/>
  <c r="U1050" i="1"/>
  <c r="Z1050" i="1"/>
  <c r="AA1050" i="1"/>
  <c r="B1051" i="1"/>
  <c r="E1051" i="1"/>
  <c r="K1051" i="1"/>
  <c r="L1051" i="1"/>
  <c r="M1051" i="1"/>
  <c r="N1051" i="1"/>
  <c r="T1051" i="1"/>
  <c r="U1051" i="1"/>
  <c r="Z1051" i="1"/>
  <c r="AA1051" i="1"/>
  <c r="B1052" i="1"/>
  <c r="E1052" i="1"/>
  <c r="K1052" i="1"/>
  <c r="L1052" i="1"/>
  <c r="M1052" i="1"/>
  <c r="N1052" i="1"/>
  <c r="T1052" i="1"/>
  <c r="U1052" i="1"/>
  <c r="Z1052" i="1"/>
  <c r="AA1052" i="1"/>
  <c r="B1053" i="1"/>
  <c r="E1053" i="1"/>
  <c r="K1053" i="1"/>
  <c r="L1053" i="1"/>
  <c r="M1053" i="1"/>
  <c r="N1053" i="1"/>
  <c r="T1053" i="1"/>
  <c r="U1053" i="1"/>
  <c r="Z1053" i="1"/>
  <c r="AA1053" i="1"/>
  <c r="B1054" i="1"/>
  <c r="E1054" i="1"/>
  <c r="K1054" i="1"/>
  <c r="L1054" i="1"/>
  <c r="M1054" i="1"/>
  <c r="N1054" i="1"/>
  <c r="T1054" i="1"/>
  <c r="U1054" i="1"/>
  <c r="Z1054" i="1"/>
  <c r="AA1054" i="1"/>
  <c r="B1055" i="1"/>
  <c r="E1055" i="1"/>
  <c r="K1055" i="1"/>
  <c r="L1055" i="1"/>
  <c r="M1055" i="1"/>
  <c r="N1055" i="1"/>
  <c r="T1055" i="1"/>
  <c r="U1055" i="1"/>
  <c r="Z1055" i="1"/>
  <c r="AA1055" i="1"/>
  <c r="B1056" i="1"/>
  <c r="E1056" i="1"/>
  <c r="K1056" i="1"/>
  <c r="L1056" i="1"/>
  <c r="M1056" i="1"/>
  <c r="N1056" i="1"/>
  <c r="T1056" i="1"/>
  <c r="U1056" i="1"/>
  <c r="Z1056" i="1"/>
  <c r="AA1056" i="1"/>
  <c r="B1057" i="1"/>
  <c r="E1057" i="1"/>
  <c r="K1057" i="1"/>
  <c r="L1057" i="1"/>
  <c r="M1057" i="1"/>
  <c r="N1057" i="1"/>
  <c r="T1057" i="1"/>
  <c r="U1057" i="1"/>
  <c r="Z1057" i="1"/>
  <c r="AA1057" i="1"/>
  <c r="B1058" i="1"/>
  <c r="E1058" i="1"/>
  <c r="K1058" i="1"/>
  <c r="L1058" i="1"/>
  <c r="M1058" i="1"/>
  <c r="N1058" i="1"/>
  <c r="T1058" i="1"/>
  <c r="U1058" i="1"/>
  <c r="Z1058" i="1"/>
  <c r="AA1058" i="1"/>
  <c r="B1059" i="1"/>
  <c r="E1059" i="1"/>
  <c r="K1059" i="1"/>
  <c r="L1059" i="1"/>
  <c r="M1059" i="1"/>
  <c r="N1059" i="1"/>
  <c r="T1059" i="1"/>
  <c r="U1059" i="1"/>
  <c r="Z1059" i="1"/>
  <c r="AA1059" i="1"/>
  <c r="B1060" i="1"/>
  <c r="E1060" i="1"/>
  <c r="K1060" i="1"/>
  <c r="L1060" i="1"/>
  <c r="M1060" i="1"/>
  <c r="N1060" i="1"/>
  <c r="T1060" i="1"/>
  <c r="U1060" i="1"/>
  <c r="Z1060" i="1"/>
  <c r="AA1060" i="1"/>
  <c r="B1061" i="1"/>
  <c r="E1061" i="1"/>
  <c r="K1061" i="1"/>
  <c r="L1061" i="1"/>
  <c r="M1061" i="1"/>
  <c r="N1061" i="1"/>
  <c r="T1061" i="1"/>
  <c r="U1061" i="1"/>
  <c r="Z1061" i="1"/>
  <c r="AA1061" i="1"/>
  <c r="B1062" i="1"/>
  <c r="E1062" i="1"/>
  <c r="K1062" i="1"/>
  <c r="L1062" i="1"/>
  <c r="M1062" i="1"/>
  <c r="N1062" i="1"/>
  <c r="T1062" i="1"/>
  <c r="U1062" i="1"/>
  <c r="Z1062" i="1"/>
  <c r="AA1062" i="1"/>
  <c r="B1063" i="1"/>
  <c r="E1063" i="1"/>
  <c r="K1063" i="1"/>
  <c r="L1063" i="1"/>
  <c r="M1063" i="1"/>
  <c r="N1063" i="1"/>
  <c r="T1063" i="1"/>
  <c r="U1063" i="1"/>
  <c r="Z1063" i="1"/>
  <c r="AA1063" i="1"/>
  <c r="B1064" i="1"/>
  <c r="E1064" i="1"/>
  <c r="K1064" i="1"/>
  <c r="L1064" i="1"/>
  <c r="M1064" i="1"/>
  <c r="N1064" i="1"/>
  <c r="T1064" i="1"/>
  <c r="U1064" i="1"/>
  <c r="Z1064" i="1"/>
  <c r="AA1064" i="1"/>
  <c r="B1065" i="1"/>
  <c r="E1065" i="1"/>
  <c r="K1065" i="1"/>
  <c r="L1065" i="1"/>
  <c r="M1065" i="1"/>
  <c r="N1065" i="1"/>
  <c r="T1065" i="1"/>
  <c r="U1065" i="1"/>
  <c r="Z1065" i="1"/>
  <c r="AA1065" i="1"/>
  <c r="B1066" i="1"/>
  <c r="E1066" i="1"/>
  <c r="K1066" i="1"/>
  <c r="L1066" i="1"/>
  <c r="M1066" i="1"/>
  <c r="N1066" i="1"/>
  <c r="T1066" i="1"/>
  <c r="U1066" i="1"/>
  <c r="Z1066" i="1"/>
  <c r="AA1066" i="1"/>
  <c r="B1067" i="1"/>
  <c r="E1067" i="1"/>
  <c r="K1067" i="1"/>
  <c r="L1067" i="1"/>
  <c r="M1067" i="1"/>
  <c r="N1067" i="1"/>
  <c r="T1067" i="1"/>
  <c r="U1067" i="1"/>
  <c r="Z1067" i="1"/>
  <c r="AA1067" i="1"/>
  <c r="B1068" i="1"/>
  <c r="E1068" i="1"/>
  <c r="K1068" i="1"/>
  <c r="L1068" i="1"/>
  <c r="M1068" i="1"/>
  <c r="N1068" i="1"/>
  <c r="T1068" i="1"/>
  <c r="U1068" i="1"/>
  <c r="Z1068" i="1"/>
  <c r="AA1068" i="1"/>
  <c r="B1069" i="1"/>
  <c r="E1069" i="1"/>
  <c r="K1069" i="1"/>
  <c r="L1069" i="1"/>
  <c r="M1069" i="1"/>
  <c r="N1069" i="1"/>
  <c r="T1069" i="1"/>
  <c r="U1069" i="1"/>
  <c r="Z1069" i="1"/>
  <c r="AA1069" i="1"/>
  <c r="B1070" i="1"/>
  <c r="E1070" i="1"/>
  <c r="K1070" i="1"/>
  <c r="L1070" i="1"/>
  <c r="M1070" i="1"/>
  <c r="N1070" i="1"/>
  <c r="T1070" i="1"/>
  <c r="U1070" i="1"/>
  <c r="Z1070" i="1"/>
  <c r="AA1070" i="1"/>
  <c r="B1071" i="1"/>
  <c r="E1071" i="1"/>
  <c r="K1071" i="1"/>
  <c r="L1071" i="1"/>
  <c r="M1071" i="1"/>
  <c r="N1071" i="1"/>
  <c r="T1071" i="1"/>
  <c r="U1071" i="1"/>
  <c r="Z1071" i="1"/>
  <c r="AA1071" i="1"/>
  <c r="B1072" i="1"/>
  <c r="E1072" i="1"/>
  <c r="K1072" i="1"/>
  <c r="L1072" i="1"/>
  <c r="M1072" i="1"/>
  <c r="N1072" i="1"/>
  <c r="T1072" i="1"/>
  <c r="U1072" i="1"/>
  <c r="Z1072" i="1"/>
  <c r="AA1072" i="1"/>
  <c r="B1073" i="1"/>
  <c r="E1073" i="1"/>
  <c r="K1073" i="1"/>
  <c r="L1073" i="1"/>
  <c r="M1073" i="1"/>
  <c r="N1073" i="1"/>
  <c r="T1073" i="1"/>
  <c r="U1073" i="1"/>
  <c r="Z1073" i="1"/>
  <c r="AA1073" i="1"/>
  <c r="B1074" i="1"/>
  <c r="E1074" i="1"/>
  <c r="K1074" i="1"/>
  <c r="L1074" i="1"/>
  <c r="M1074" i="1"/>
  <c r="N1074" i="1"/>
  <c r="T1074" i="1"/>
  <c r="U1074" i="1"/>
  <c r="Z1074" i="1"/>
  <c r="AA1074" i="1"/>
  <c r="B1075" i="1"/>
  <c r="E1075" i="1"/>
  <c r="K1075" i="1"/>
  <c r="L1075" i="1"/>
  <c r="M1075" i="1"/>
  <c r="N1075" i="1"/>
  <c r="T1075" i="1"/>
  <c r="U1075" i="1"/>
  <c r="Z1075" i="1"/>
  <c r="AA1075" i="1"/>
  <c r="B1076" i="1"/>
  <c r="E1076" i="1"/>
  <c r="K1076" i="1"/>
  <c r="L1076" i="1"/>
  <c r="M1076" i="1"/>
  <c r="N1076" i="1"/>
  <c r="T1076" i="1"/>
  <c r="U1076" i="1"/>
  <c r="Z1076" i="1"/>
  <c r="AA1076" i="1"/>
  <c r="B1077" i="1"/>
  <c r="E1077" i="1"/>
  <c r="K1077" i="1"/>
  <c r="L1077" i="1"/>
  <c r="M1077" i="1"/>
  <c r="N1077" i="1"/>
  <c r="T1077" i="1"/>
  <c r="U1077" i="1"/>
  <c r="Z1077" i="1"/>
  <c r="AA1077" i="1"/>
  <c r="B1078" i="1"/>
  <c r="E1078" i="1"/>
  <c r="K1078" i="1"/>
  <c r="L1078" i="1"/>
  <c r="M1078" i="1"/>
  <c r="N1078" i="1"/>
  <c r="T1078" i="1"/>
  <c r="U1078" i="1"/>
  <c r="Z1078" i="1"/>
  <c r="AA1078" i="1"/>
  <c r="B1079" i="1"/>
  <c r="E1079" i="1"/>
  <c r="K1079" i="1"/>
  <c r="L1079" i="1"/>
  <c r="M1079" i="1"/>
  <c r="N1079" i="1"/>
  <c r="T1079" i="1"/>
  <c r="U1079" i="1"/>
  <c r="Z1079" i="1"/>
  <c r="AA1079" i="1"/>
  <c r="B1080" i="1"/>
  <c r="E1080" i="1"/>
  <c r="K1080" i="1"/>
  <c r="L1080" i="1"/>
  <c r="M1080" i="1"/>
  <c r="N1080" i="1"/>
  <c r="T1080" i="1"/>
  <c r="U1080" i="1"/>
  <c r="Z1080" i="1"/>
  <c r="AA1080" i="1"/>
  <c r="B1081" i="1"/>
  <c r="E1081" i="1"/>
  <c r="K1081" i="1"/>
  <c r="L1081" i="1"/>
  <c r="M1081" i="1"/>
  <c r="N1081" i="1"/>
  <c r="T1081" i="1"/>
  <c r="U1081" i="1"/>
  <c r="Z1081" i="1"/>
  <c r="AA1081" i="1"/>
  <c r="B1082" i="1"/>
  <c r="E1082" i="1"/>
  <c r="K1082" i="1"/>
  <c r="L1082" i="1"/>
  <c r="M1082" i="1"/>
  <c r="N1082" i="1"/>
  <c r="T1082" i="1"/>
  <c r="U1082" i="1"/>
  <c r="Z1082" i="1"/>
  <c r="AA1082" i="1"/>
  <c r="B1083" i="1"/>
  <c r="E1083" i="1"/>
  <c r="K1083" i="1"/>
  <c r="L1083" i="1"/>
  <c r="M1083" i="1"/>
  <c r="N1083" i="1"/>
  <c r="T1083" i="1"/>
  <c r="U1083" i="1"/>
  <c r="Z1083" i="1"/>
  <c r="AA1083" i="1"/>
  <c r="B1084" i="1"/>
  <c r="E1084" i="1"/>
  <c r="K1084" i="1"/>
  <c r="L1084" i="1"/>
  <c r="M1084" i="1"/>
  <c r="N1084" i="1"/>
  <c r="T1084" i="1"/>
  <c r="U1084" i="1"/>
  <c r="Z1084" i="1"/>
  <c r="AA1084" i="1"/>
  <c r="B1085" i="1"/>
  <c r="E1085" i="1"/>
  <c r="K1085" i="1"/>
  <c r="L1085" i="1"/>
  <c r="M1085" i="1"/>
  <c r="N1085" i="1"/>
  <c r="T1085" i="1"/>
  <c r="U1085" i="1"/>
  <c r="Z1085" i="1"/>
  <c r="AA1085" i="1"/>
  <c r="B1086" i="1"/>
  <c r="E1086" i="1"/>
  <c r="K1086" i="1"/>
  <c r="L1086" i="1"/>
  <c r="M1086" i="1"/>
  <c r="N1086" i="1"/>
  <c r="T1086" i="1"/>
  <c r="U1086" i="1"/>
  <c r="Z1086" i="1"/>
  <c r="AA1086" i="1"/>
  <c r="B1087" i="1"/>
  <c r="E1087" i="1"/>
  <c r="K1087" i="1"/>
  <c r="L1087" i="1"/>
  <c r="M1087" i="1"/>
  <c r="N1087" i="1"/>
  <c r="T1087" i="1"/>
  <c r="U1087" i="1"/>
  <c r="Z1087" i="1"/>
  <c r="AA1087" i="1"/>
  <c r="B1088" i="1"/>
  <c r="E1088" i="1"/>
  <c r="K1088" i="1"/>
  <c r="L1088" i="1"/>
  <c r="M1088" i="1"/>
  <c r="N1088" i="1"/>
  <c r="T1088" i="1"/>
  <c r="U1088" i="1"/>
  <c r="Z1088" i="1"/>
  <c r="AA1088" i="1"/>
  <c r="B1089" i="1"/>
  <c r="E1089" i="1"/>
  <c r="K1089" i="1"/>
  <c r="L1089" i="1"/>
  <c r="M1089" i="1"/>
  <c r="N1089" i="1"/>
  <c r="T1089" i="1"/>
  <c r="U1089" i="1"/>
  <c r="Z1089" i="1"/>
  <c r="AA1089" i="1"/>
  <c r="B1090" i="1"/>
  <c r="E1090" i="1"/>
  <c r="K1090" i="1"/>
  <c r="L1090" i="1"/>
  <c r="M1090" i="1"/>
  <c r="N1090" i="1"/>
  <c r="T1090" i="1"/>
  <c r="U1090" i="1"/>
  <c r="Z1090" i="1"/>
  <c r="AA1090" i="1"/>
  <c r="B1091" i="1"/>
  <c r="E1091" i="1"/>
  <c r="K1091" i="1"/>
  <c r="L1091" i="1"/>
  <c r="M1091" i="1"/>
  <c r="N1091" i="1"/>
  <c r="T1091" i="1"/>
  <c r="U1091" i="1"/>
  <c r="Z1091" i="1"/>
  <c r="AA1091" i="1"/>
  <c r="B1092" i="1"/>
  <c r="E1092" i="1"/>
  <c r="K1092" i="1"/>
  <c r="L1092" i="1"/>
  <c r="M1092" i="1"/>
  <c r="N1092" i="1"/>
  <c r="T1092" i="1"/>
  <c r="U1092" i="1"/>
  <c r="Z1092" i="1"/>
  <c r="AA1092" i="1"/>
  <c r="B1093" i="1"/>
  <c r="E1093" i="1"/>
  <c r="K1093" i="1"/>
  <c r="L1093" i="1"/>
  <c r="M1093" i="1"/>
  <c r="N1093" i="1"/>
  <c r="T1093" i="1"/>
  <c r="U1093" i="1"/>
  <c r="Z1093" i="1"/>
  <c r="AA1093" i="1"/>
  <c r="B1094" i="1"/>
  <c r="E1094" i="1"/>
  <c r="K1094" i="1"/>
  <c r="L1094" i="1"/>
  <c r="M1094" i="1"/>
  <c r="N1094" i="1"/>
  <c r="T1094" i="1"/>
  <c r="U1094" i="1"/>
  <c r="Z1094" i="1"/>
  <c r="AA1094" i="1"/>
  <c r="B1095" i="1"/>
  <c r="E1095" i="1"/>
  <c r="K1095" i="1"/>
  <c r="L1095" i="1"/>
  <c r="M1095" i="1"/>
  <c r="N1095" i="1"/>
  <c r="T1095" i="1"/>
  <c r="U1095" i="1"/>
  <c r="Z1095" i="1"/>
  <c r="AA1095" i="1"/>
  <c r="B1096" i="1"/>
  <c r="E1096" i="1"/>
  <c r="K1096" i="1"/>
  <c r="L1096" i="1"/>
  <c r="M1096" i="1"/>
  <c r="N1096" i="1"/>
  <c r="T1096" i="1"/>
  <c r="U1096" i="1"/>
  <c r="Z1096" i="1"/>
  <c r="AA1096" i="1"/>
  <c r="B1097" i="1"/>
  <c r="E1097" i="1"/>
  <c r="K1097" i="1"/>
  <c r="L1097" i="1"/>
  <c r="M1097" i="1"/>
  <c r="N1097" i="1"/>
  <c r="T1097" i="1"/>
  <c r="U1097" i="1"/>
  <c r="Z1097" i="1"/>
  <c r="AA1097" i="1"/>
  <c r="B1098" i="1"/>
  <c r="E1098" i="1"/>
  <c r="K1098" i="1"/>
  <c r="L1098" i="1"/>
  <c r="M1098" i="1"/>
  <c r="N1098" i="1"/>
  <c r="T1098" i="1"/>
  <c r="U1098" i="1"/>
  <c r="Z1098" i="1"/>
  <c r="AA1098" i="1"/>
  <c r="B1099" i="1"/>
  <c r="E1099" i="1"/>
  <c r="K1099" i="1"/>
  <c r="L1099" i="1"/>
  <c r="M1099" i="1"/>
  <c r="N1099" i="1"/>
  <c r="T1099" i="1"/>
  <c r="U1099" i="1"/>
  <c r="Z1099" i="1"/>
  <c r="AA1099" i="1"/>
  <c r="B1100" i="1"/>
  <c r="E1100" i="1"/>
  <c r="K1100" i="1"/>
  <c r="L1100" i="1"/>
  <c r="M1100" i="1"/>
  <c r="N1100" i="1"/>
  <c r="T1100" i="1"/>
  <c r="U1100" i="1"/>
  <c r="Z1100" i="1"/>
  <c r="AA1100" i="1"/>
  <c r="B1101" i="1"/>
  <c r="E1101" i="1"/>
  <c r="K1101" i="1"/>
  <c r="L1101" i="1"/>
  <c r="M1101" i="1"/>
  <c r="N1101" i="1"/>
  <c r="T1101" i="1"/>
  <c r="U1101" i="1"/>
  <c r="Z1101" i="1"/>
  <c r="AA1101" i="1"/>
  <c r="B1102" i="1"/>
  <c r="E1102" i="1"/>
  <c r="K1102" i="1"/>
  <c r="L1102" i="1"/>
  <c r="M1102" i="1"/>
  <c r="N1102" i="1"/>
  <c r="T1102" i="1"/>
  <c r="U1102" i="1"/>
  <c r="Z1102" i="1"/>
  <c r="AA1102" i="1"/>
  <c r="B1103" i="1"/>
  <c r="E1103" i="1"/>
  <c r="K1103" i="1"/>
  <c r="L1103" i="1"/>
  <c r="M1103" i="1"/>
  <c r="N1103" i="1"/>
  <c r="T1103" i="1"/>
  <c r="U1103" i="1"/>
  <c r="Z1103" i="1"/>
  <c r="AA1103" i="1"/>
  <c r="B1104" i="1"/>
  <c r="E1104" i="1"/>
  <c r="K1104" i="1"/>
  <c r="L1104" i="1"/>
  <c r="M1104" i="1"/>
  <c r="N1104" i="1"/>
  <c r="T1104" i="1"/>
  <c r="U1104" i="1"/>
  <c r="Z1104" i="1"/>
  <c r="AA1104" i="1"/>
  <c r="B1105" i="1"/>
  <c r="E1105" i="1"/>
  <c r="K1105" i="1"/>
  <c r="L1105" i="1"/>
  <c r="M1105" i="1"/>
  <c r="N1105" i="1"/>
  <c r="T1105" i="1"/>
  <c r="U1105" i="1"/>
  <c r="Z1105" i="1"/>
  <c r="AA1105" i="1"/>
  <c r="B1106" i="1"/>
  <c r="E1106" i="1"/>
  <c r="K1106" i="1"/>
  <c r="L1106" i="1"/>
  <c r="M1106" i="1"/>
  <c r="N1106" i="1"/>
  <c r="T1106" i="1"/>
  <c r="U1106" i="1"/>
  <c r="Z1106" i="1"/>
  <c r="AA1106" i="1"/>
  <c r="B1107" i="1"/>
  <c r="E1107" i="1"/>
  <c r="K1107" i="1"/>
  <c r="L1107" i="1"/>
  <c r="M1107" i="1"/>
  <c r="N1107" i="1"/>
  <c r="T1107" i="1"/>
  <c r="U1107" i="1"/>
  <c r="Z1107" i="1"/>
  <c r="AA1107" i="1"/>
  <c r="B1108" i="1"/>
  <c r="E1108" i="1"/>
  <c r="K1108" i="1"/>
  <c r="L1108" i="1"/>
  <c r="M1108" i="1"/>
  <c r="N1108" i="1"/>
  <c r="T1108" i="1"/>
  <c r="U1108" i="1"/>
  <c r="Z1108" i="1"/>
  <c r="AA1108" i="1"/>
  <c r="B1109" i="1"/>
  <c r="E1109" i="1"/>
  <c r="K1109" i="1"/>
  <c r="L1109" i="1"/>
  <c r="M1109" i="1"/>
  <c r="N1109" i="1"/>
  <c r="T1109" i="1"/>
  <c r="U1109" i="1"/>
  <c r="Z1109" i="1"/>
  <c r="AA1109" i="1"/>
  <c r="B1110" i="1"/>
  <c r="E1110" i="1"/>
  <c r="K1110" i="1"/>
  <c r="L1110" i="1"/>
  <c r="M1110" i="1"/>
  <c r="N1110" i="1"/>
  <c r="T1110" i="1"/>
  <c r="U1110" i="1"/>
  <c r="Z1110" i="1"/>
  <c r="AA1110" i="1"/>
  <c r="B1111" i="1"/>
  <c r="E1111" i="1"/>
  <c r="K1111" i="1"/>
  <c r="L1111" i="1"/>
  <c r="M1111" i="1"/>
  <c r="N1111" i="1"/>
  <c r="T1111" i="1"/>
  <c r="U1111" i="1"/>
  <c r="Z1111" i="1"/>
  <c r="AA1111" i="1"/>
  <c r="B1112" i="1"/>
  <c r="E1112" i="1"/>
  <c r="K1112" i="1"/>
  <c r="L1112" i="1"/>
  <c r="M1112" i="1"/>
  <c r="N1112" i="1"/>
  <c r="T1112" i="1"/>
  <c r="U1112" i="1"/>
  <c r="Z1112" i="1"/>
  <c r="AA1112" i="1"/>
  <c r="B1113" i="1"/>
  <c r="E1113" i="1"/>
  <c r="K1113" i="1"/>
  <c r="L1113" i="1"/>
  <c r="M1113" i="1"/>
  <c r="N1113" i="1"/>
  <c r="T1113" i="1"/>
  <c r="U1113" i="1"/>
  <c r="Z1113" i="1"/>
  <c r="AA1113" i="1"/>
  <c r="B1114" i="1"/>
  <c r="E1114" i="1"/>
  <c r="K1114" i="1"/>
  <c r="L1114" i="1"/>
  <c r="M1114" i="1"/>
  <c r="N1114" i="1"/>
  <c r="T1114" i="1"/>
  <c r="U1114" i="1"/>
  <c r="Z1114" i="1"/>
  <c r="AA1114" i="1"/>
  <c r="B1115" i="1"/>
  <c r="E1115" i="1"/>
  <c r="K1115" i="1"/>
  <c r="L1115" i="1"/>
  <c r="M1115" i="1"/>
  <c r="N1115" i="1"/>
  <c r="T1115" i="1"/>
  <c r="U1115" i="1"/>
  <c r="Z1115" i="1"/>
  <c r="AA1115" i="1"/>
  <c r="B1116" i="1"/>
  <c r="E1116" i="1"/>
  <c r="K1116" i="1"/>
  <c r="L1116" i="1"/>
  <c r="M1116" i="1"/>
  <c r="N1116" i="1"/>
  <c r="T1116" i="1"/>
  <c r="U1116" i="1"/>
  <c r="Z1116" i="1"/>
  <c r="AA1116" i="1"/>
  <c r="B1117" i="1"/>
  <c r="E1117" i="1"/>
  <c r="K1117" i="1"/>
  <c r="L1117" i="1"/>
  <c r="M1117" i="1"/>
  <c r="N1117" i="1"/>
  <c r="T1117" i="1"/>
  <c r="U1117" i="1"/>
  <c r="Z1117" i="1"/>
  <c r="AA1117" i="1"/>
  <c r="B1118" i="1"/>
  <c r="E1118" i="1"/>
  <c r="K1118" i="1"/>
  <c r="L1118" i="1"/>
  <c r="M1118" i="1"/>
  <c r="N1118" i="1"/>
  <c r="T1118" i="1"/>
  <c r="U1118" i="1"/>
  <c r="Z1118" i="1"/>
  <c r="AA1118" i="1"/>
  <c r="B1119" i="1"/>
  <c r="E1119" i="1"/>
  <c r="K1119" i="1"/>
  <c r="L1119" i="1"/>
  <c r="M1119" i="1"/>
  <c r="N1119" i="1"/>
  <c r="T1119" i="1"/>
  <c r="U1119" i="1"/>
  <c r="Z1119" i="1"/>
  <c r="AA1119" i="1"/>
  <c r="B1120" i="1"/>
  <c r="E1120" i="1"/>
  <c r="K1120" i="1"/>
  <c r="L1120" i="1"/>
  <c r="M1120" i="1"/>
  <c r="N1120" i="1"/>
  <c r="T1120" i="1"/>
  <c r="U1120" i="1"/>
  <c r="Z1120" i="1"/>
  <c r="AA1120" i="1"/>
  <c r="B1121" i="1"/>
  <c r="E1121" i="1"/>
  <c r="K1121" i="1"/>
  <c r="L1121" i="1"/>
  <c r="M1121" i="1"/>
  <c r="N1121" i="1"/>
  <c r="T1121" i="1"/>
  <c r="U1121" i="1"/>
  <c r="Z1121" i="1"/>
  <c r="AA1121" i="1"/>
  <c r="B1122" i="1"/>
  <c r="E1122" i="1"/>
  <c r="K1122" i="1"/>
  <c r="L1122" i="1"/>
  <c r="M1122" i="1"/>
  <c r="N1122" i="1"/>
  <c r="T1122" i="1"/>
  <c r="U1122" i="1"/>
  <c r="Z1122" i="1"/>
  <c r="AA1122" i="1"/>
  <c r="B1123" i="1"/>
  <c r="E1123" i="1"/>
  <c r="K1123" i="1"/>
  <c r="L1123" i="1"/>
  <c r="M1123" i="1"/>
  <c r="N1123" i="1"/>
  <c r="T1123" i="1"/>
  <c r="U1123" i="1"/>
  <c r="Z1123" i="1"/>
  <c r="AA1123" i="1"/>
  <c r="B1124" i="1"/>
  <c r="E1124" i="1"/>
  <c r="K1124" i="1"/>
  <c r="L1124" i="1"/>
  <c r="M1124" i="1"/>
  <c r="N1124" i="1"/>
  <c r="T1124" i="1"/>
  <c r="U1124" i="1"/>
  <c r="Z1124" i="1"/>
  <c r="AA1124" i="1"/>
  <c r="B1125" i="1"/>
  <c r="E1125" i="1"/>
  <c r="K1125" i="1"/>
  <c r="L1125" i="1"/>
  <c r="M1125" i="1"/>
  <c r="N1125" i="1"/>
  <c r="T1125" i="1"/>
  <c r="U1125" i="1"/>
  <c r="Z1125" i="1"/>
  <c r="AA1125" i="1"/>
  <c r="B1126" i="1"/>
  <c r="E1126" i="1"/>
  <c r="K1126" i="1"/>
  <c r="L1126" i="1"/>
  <c r="M1126" i="1"/>
  <c r="N1126" i="1"/>
  <c r="T1126" i="1"/>
  <c r="U1126" i="1"/>
  <c r="Z1126" i="1"/>
  <c r="AA1126" i="1"/>
  <c r="B1127" i="1"/>
  <c r="E1127" i="1"/>
  <c r="K1127" i="1"/>
  <c r="L1127" i="1"/>
  <c r="M1127" i="1"/>
  <c r="N1127" i="1"/>
  <c r="T1127" i="1"/>
  <c r="U1127" i="1"/>
  <c r="Z1127" i="1"/>
  <c r="AA1127" i="1"/>
  <c r="B1128" i="1"/>
  <c r="E1128" i="1"/>
  <c r="K1128" i="1"/>
  <c r="L1128" i="1"/>
  <c r="M1128" i="1"/>
  <c r="N1128" i="1"/>
  <c r="T1128" i="1"/>
  <c r="U1128" i="1"/>
  <c r="Z1128" i="1"/>
  <c r="AA1128" i="1"/>
  <c r="B1129" i="1"/>
  <c r="E1129" i="1"/>
  <c r="K1129" i="1"/>
  <c r="L1129" i="1"/>
  <c r="M1129" i="1"/>
  <c r="N1129" i="1"/>
  <c r="T1129" i="1"/>
  <c r="U1129" i="1"/>
  <c r="Z1129" i="1"/>
  <c r="AA1129" i="1"/>
  <c r="B1130" i="1"/>
  <c r="E1130" i="1"/>
  <c r="K1130" i="1"/>
  <c r="L1130" i="1"/>
  <c r="M1130" i="1"/>
  <c r="N1130" i="1"/>
  <c r="T1130" i="1"/>
  <c r="U1130" i="1"/>
  <c r="Z1130" i="1"/>
  <c r="AA1130" i="1"/>
  <c r="B1131" i="1"/>
  <c r="E1131" i="1"/>
  <c r="K1131" i="1"/>
  <c r="L1131" i="1"/>
  <c r="M1131" i="1"/>
  <c r="N1131" i="1"/>
  <c r="T1131" i="1"/>
  <c r="U1131" i="1"/>
  <c r="Z1131" i="1"/>
  <c r="AA1131" i="1"/>
  <c r="B1132" i="1"/>
  <c r="E1132" i="1"/>
  <c r="K1132" i="1"/>
  <c r="L1132" i="1"/>
  <c r="M1132" i="1"/>
  <c r="N1132" i="1"/>
  <c r="T1132" i="1"/>
  <c r="U1132" i="1"/>
  <c r="Z1132" i="1"/>
  <c r="AA1132" i="1"/>
  <c r="B1133" i="1"/>
  <c r="E1133" i="1"/>
  <c r="K1133" i="1"/>
  <c r="L1133" i="1"/>
  <c r="M1133" i="1"/>
  <c r="N1133" i="1"/>
  <c r="T1133" i="1"/>
  <c r="U1133" i="1"/>
  <c r="Z1133" i="1"/>
  <c r="AA1133" i="1"/>
  <c r="B1134" i="1"/>
  <c r="E1134" i="1"/>
  <c r="K1134" i="1"/>
  <c r="L1134" i="1"/>
  <c r="M1134" i="1"/>
  <c r="N1134" i="1"/>
  <c r="T1134" i="1"/>
  <c r="U1134" i="1"/>
  <c r="Z1134" i="1"/>
  <c r="AA1134" i="1"/>
  <c r="B1135" i="1"/>
  <c r="E1135" i="1"/>
  <c r="K1135" i="1"/>
  <c r="L1135" i="1"/>
  <c r="M1135" i="1"/>
  <c r="N1135" i="1"/>
  <c r="T1135" i="1"/>
  <c r="U1135" i="1"/>
  <c r="Z1135" i="1"/>
  <c r="AA1135" i="1"/>
  <c r="B1136" i="1"/>
  <c r="E1136" i="1"/>
  <c r="K1136" i="1"/>
  <c r="L1136" i="1"/>
  <c r="M1136" i="1"/>
  <c r="N1136" i="1"/>
  <c r="T1136" i="1"/>
  <c r="U1136" i="1"/>
  <c r="Z1136" i="1"/>
  <c r="AA1136" i="1"/>
  <c r="B1137" i="1"/>
  <c r="E1137" i="1"/>
  <c r="K1137" i="1"/>
  <c r="L1137" i="1"/>
  <c r="M1137" i="1"/>
  <c r="N1137" i="1"/>
  <c r="T1137" i="1"/>
  <c r="U1137" i="1"/>
  <c r="Z1137" i="1"/>
  <c r="AA1137" i="1"/>
  <c r="B1138" i="1"/>
  <c r="E1138" i="1"/>
  <c r="K1138" i="1"/>
  <c r="L1138" i="1"/>
  <c r="M1138" i="1"/>
  <c r="N1138" i="1"/>
  <c r="T1138" i="1"/>
  <c r="U1138" i="1"/>
  <c r="Z1138" i="1"/>
  <c r="AA1138" i="1"/>
  <c r="B1139" i="1"/>
  <c r="E1139" i="1"/>
  <c r="K1139" i="1"/>
  <c r="L1139" i="1"/>
  <c r="M1139" i="1"/>
  <c r="N1139" i="1"/>
  <c r="T1139" i="1"/>
  <c r="U1139" i="1"/>
  <c r="Z1139" i="1"/>
  <c r="AA1139" i="1"/>
  <c r="B1140" i="1"/>
  <c r="E1140" i="1"/>
  <c r="K1140" i="1"/>
  <c r="L1140" i="1"/>
  <c r="M1140" i="1"/>
  <c r="N1140" i="1"/>
  <c r="T1140" i="1"/>
  <c r="U1140" i="1"/>
  <c r="Z1140" i="1"/>
  <c r="AA1140" i="1"/>
  <c r="B1141" i="1"/>
  <c r="E1141" i="1"/>
  <c r="K1141" i="1"/>
  <c r="L1141" i="1"/>
  <c r="M1141" i="1"/>
  <c r="N1141" i="1"/>
  <c r="T1141" i="1"/>
  <c r="U1141" i="1"/>
  <c r="Z1141" i="1"/>
  <c r="AA1141" i="1"/>
  <c r="B1142" i="1"/>
  <c r="E1142" i="1"/>
  <c r="K1142" i="1"/>
  <c r="L1142" i="1"/>
  <c r="M1142" i="1"/>
  <c r="N1142" i="1"/>
  <c r="T1142" i="1"/>
  <c r="U1142" i="1"/>
  <c r="Z1142" i="1"/>
  <c r="AA1142" i="1"/>
  <c r="B1143" i="1"/>
  <c r="E1143" i="1"/>
  <c r="K1143" i="1"/>
  <c r="L1143" i="1"/>
  <c r="M1143" i="1"/>
  <c r="N1143" i="1"/>
  <c r="T1143" i="1"/>
  <c r="U1143" i="1"/>
  <c r="Z1143" i="1"/>
  <c r="AA1143" i="1"/>
  <c r="B1144" i="1"/>
  <c r="E1144" i="1"/>
  <c r="K1144" i="1"/>
  <c r="L1144" i="1"/>
  <c r="M1144" i="1"/>
  <c r="N1144" i="1"/>
  <c r="T1144" i="1"/>
  <c r="U1144" i="1"/>
  <c r="Z1144" i="1"/>
  <c r="AA1144" i="1"/>
  <c r="B1145" i="1"/>
  <c r="E1145" i="1"/>
  <c r="K1145" i="1"/>
  <c r="L1145" i="1"/>
  <c r="M1145" i="1"/>
  <c r="N1145" i="1"/>
  <c r="T1145" i="1"/>
  <c r="U1145" i="1"/>
  <c r="Z1145" i="1"/>
  <c r="AA1145" i="1"/>
  <c r="B1146" i="1"/>
  <c r="E1146" i="1"/>
  <c r="K1146" i="1"/>
  <c r="L1146" i="1"/>
  <c r="M1146" i="1"/>
  <c r="N1146" i="1"/>
  <c r="T1146" i="1"/>
  <c r="U1146" i="1"/>
  <c r="Z1146" i="1"/>
  <c r="AA1146" i="1"/>
  <c r="B1147" i="1"/>
  <c r="E1147" i="1"/>
  <c r="K1147" i="1"/>
  <c r="L1147" i="1"/>
  <c r="M1147" i="1"/>
  <c r="N1147" i="1"/>
  <c r="T1147" i="1"/>
  <c r="U1147" i="1"/>
  <c r="Z1147" i="1"/>
  <c r="AA1147" i="1"/>
  <c r="B1148" i="1"/>
  <c r="E1148" i="1"/>
  <c r="K1148" i="1"/>
  <c r="L1148" i="1"/>
  <c r="M1148" i="1"/>
  <c r="N1148" i="1"/>
  <c r="T1148" i="1"/>
  <c r="U1148" i="1"/>
  <c r="Z1148" i="1"/>
  <c r="AA1148" i="1"/>
  <c r="B1149" i="1"/>
  <c r="E1149" i="1"/>
  <c r="K1149" i="1"/>
  <c r="L1149" i="1"/>
  <c r="M1149" i="1"/>
  <c r="N1149" i="1"/>
  <c r="T1149" i="1"/>
  <c r="U1149" i="1"/>
  <c r="Z1149" i="1"/>
  <c r="AA1149" i="1"/>
  <c r="B1150" i="1"/>
  <c r="E1150" i="1"/>
  <c r="K1150" i="1"/>
  <c r="L1150" i="1"/>
  <c r="M1150" i="1"/>
  <c r="N1150" i="1"/>
  <c r="T1150" i="1"/>
  <c r="U1150" i="1"/>
  <c r="Z1150" i="1"/>
  <c r="AA1150" i="1"/>
  <c r="B1151" i="1"/>
  <c r="E1151" i="1"/>
  <c r="K1151" i="1"/>
  <c r="L1151" i="1"/>
  <c r="M1151" i="1"/>
  <c r="N1151" i="1"/>
  <c r="T1151" i="1"/>
  <c r="U1151" i="1"/>
  <c r="Z1151" i="1"/>
  <c r="AA1151" i="1"/>
  <c r="B1152" i="1"/>
  <c r="E1152" i="1"/>
  <c r="K1152" i="1"/>
  <c r="L1152" i="1"/>
  <c r="M1152" i="1"/>
  <c r="N1152" i="1"/>
  <c r="T1152" i="1"/>
  <c r="U1152" i="1"/>
  <c r="Z1152" i="1"/>
  <c r="AA1152" i="1"/>
  <c r="B1153" i="1"/>
  <c r="E1153" i="1"/>
  <c r="K1153" i="1"/>
  <c r="L1153" i="1"/>
  <c r="M1153" i="1"/>
  <c r="N1153" i="1"/>
  <c r="T1153" i="1"/>
  <c r="U1153" i="1"/>
  <c r="Z1153" i="1"/>
  <c r="AA1153" i="1"/>
  <c r="B1154" i="1"/>
  <c r="E1154" i="1"/>
  <c r="K1154" i="1"/>
  <c r="L1154" i="1"/>
  <c r="M1154" i="1"/>
  <c r="N1154" i="1"/>
  <c r="T1154" i="1"/>
  <c r="U1154" i="1"/>
  <c r="Z1154" i="1"/>
  <c r="AA1154" i="1"/>
  <c r="B1155" i="1"/>
  <c r="E1155" i="1"/>
  <c r="K1155" i="1"/>
  <c r="L1155" i="1"/>
  <c r="M1155" i="1"/>
  <c r="N1155" i="1"/>
  <c r="T1155" i="1"/>
  <c r="U1155" i="1"/>
  <c r="Z1155" i="1"/>
  <c r="AA1155" i="1"/>
  <c r="B1156" i="1"/>
  <c r="E1156" i="1"/>
  <c r="K1156" i="1"/>
  <c r="L1156" i="1"/>
  <c r="M1156" i="1"/>
  <c r="N1156" i="1"/>
  <c r="T1156" i="1"/>
  <c r="U1156" i="1"/>
  <c r="Z1156" i="1"/>
  <c r="AA1156" i="1"/>
  <c r="B1157" i="1"/>
  <c r="E1157" i="1"/>
  <c r="K1157" i="1"/>
  <c r="L1157" i="1"/>
  <c r="M1157" i="1"/>
  <c r="N1157" i="1"/>
  <c r="T1157" i="1"/>
  <c r="U1157" i="1"/>
  <c r="Z1157" i="1"/>
  <c r="AA1157" i="1"/>
  <c r="B1158" i="1"/>
  <c r="E1158" i="1"/>
  <c r="K1158" i="1"/>
  <c r="L1158" i="1"/>
  <c r="M1158" i="1"/>
  <c r="N1158" i="1"/>
  <c r="T1158" i="1"/>
  <c r="U1158" i="1"/>
  <c r="Z1158" i="1"/>
  <c r="AA1158" i="1"/>
  <c r="B1159" i="1"/>
  <c r="E1159" i="1"/>
  <c r="K1159" i="1"/>
  <c r="L1159" i="1"/>
  <c r="M1159" i="1"/>
  <c r="N1159" i="1"/>
  <c r="T1159" i="1"/>
  <c r="U1159" i="1"/>
  <c r="Z1159" i="1"/>
  <c r="AA1159" i="1"/>
  <c r="B1160" i="1"/>
  <c r="E1160" i="1"/>
  <c r="K1160" i="1"/>
  <c r="L1160" i="1"/>
  <c r="M1160" i="1"/>
  <c r="N1160" i="1"/>
  <c r="T1160" i="1"/>
  <c r="U1160" i="1"/>
  <c r="Z1160" i="1"/>
  <c r="AA1160" i="1"/>
  <c r="B1161" i="1"/>
  <c r="E1161" i="1"/>
  <c r="K1161" i="1"/>
  <c r="L1161" i="1"/>
  <c r="M1161" i="1"/>
  <c r="N1161" i="1"/>
  <c r="T1161" i="1"/>
  <c r="U1161" i="1"/>
  <c r="Z1161" i="1"/>
  <c r="AA1161" i="1"/>
  <c r="B1162" i="1"/>
  <c r="E1162" i="1"/>
  <c r="K1162" i="1"/>
  <c r="L1162" i="1"/>
  <c r="M1162" i="1"/>
  <c r="N1162" i="1"/>
  <c r="T1162" i="1"/>
  <c r="U1162" i="1"/>
  <c r="Z1162" i="1"/>
  <c r="AA1162" i="1"/>
  <c r="B1163" i="1"/>
  <c r="E1163" i="1"/>
  <c r="K1163" i="1"/>
  <c r="L1163" i="1"/>
  <c r="M1163" i="1"/>
  <c r="N1163" i="1"/>
  <c r="T1163" i="1"/>
  <c r="U1163" i="1"/>
  <c r="Z1163" i="1"/>
  <c r="AA1163" i="1"/>
  <c r="B1164" i="1"/>
  <c r="E1164" i="1"/>
  <c r="K1164" i="1"/>
  <c r="L1164" i="1"/>
  <c r="M1164" i="1"/>
  <c r="N1164" i="1"/>
  <c r="T1164" i="1"/>
  <c r="U1164" i="1"/>
  <c r="Z1164" i="1"/>
  <c r="AA1164" i="1"/>
  <c r="B1165" i="1"/>
  <c r="E1165" i="1"/>
  <c r="K1165" i="1"/>
  <c r="L1165" i="1"/>
  <c r="M1165" i="1"/>
  <c r="N1165" i="1"/>
  <c r="T1165" i="1"/>
  <c r="U1165" i="1"/>
  <c r="Z1165" i="1"/>
  <c r="AA1165" i="1"/>
  <c r="B1166" i="1"/>
  <c r="E1166" i="1"/>
  <c r="K1166" i="1"/>
  <c r="L1166" i="1"/>
  <c r="M1166" i="1"/>
  <c r="N1166" i="1"/>
  <c r="T1166" i="1"/>
  <c r="U1166" i="1"/>
  <c r="Z1166" i="1"/>
  <c r="AA1166" i="1"/>
  <c r="B1167" i="1"/>
  <c r="E1167" i="1"/>
  <c r="K1167" i="1"/>
  <c r="L1167" i="1"/>
  <c r="M1167" i="1"/>
  <c r="N1167" i="1"/>
  <c r="T1167" i="1"/>
  <c r="U1167" i="1"/>
  <c r="Z1167" i="1"/>
  <c r="AA1167" i="1"/>
  <c r="B1168" i="1"/>
  <c r="E1168" i="1"/>
  <c r="K1168" i="1"/>
  <c r="L1168" i="1"/>
  <c r="M1168" i="1"/>
  <c r="N1168" i="1"/>
  <c r="T1168" i="1"/>
  <c r="U1168" i="1"/>
  <c r="Z1168" i="1"/>
  <c r="AA1168" i="1"/>
  <c r="B1169" i="1"/>
  <c r="E1169" i="1"/>
  <c r="K1169" i="1"/>
  <c r="L1169" i="1"/>
  <c r="M1169" i="1"/>
  <c r="N1169" i="1"/>
  <c r="T1169" i="1"/>
  <c r="U1169" i="1"/>
  <c r="Z1169" i="1"/>
  <c r="AA1169" i="1"/>
  <c r="B1170" i="1"/>
  <c r="E1170" i="1"/>
  <c r="K1170" i="1"/>
  <c r="L1170" i="1"/>
  <c r="M1170" i="1"/>
  <c r="N1170" i="1"/>
  <c r="T1170" i="1"/>
  <c r="U1170" i="1"/>
  <c r="Z1170" i="1"/>
  <c r="AA1170" i="1"/>
  <c r="B1171" i="1"/>
  <c r="E1171" i="1"/>
  <c r="K1171" i="1"/>
  <c r="L1171" i="1"/>
  <c r="M1171" i="1"/>
  <c r="N1171" i="1"/>
  <c r="T1171" i="1"/>
  <c r="U1171" i="1"/>
  <c r="Z1171" i="1"/>
  <c r="AA1171" i="1"/>
  <c r="B1172" i="1"/>
  <c r="E1172" i="1"/>
  <c r="K1172" i="1"/>
  <c r="L1172" i="1"/>
  <c r="M1172" i="1"/>
  <c r="N1172" i="1"/>
  <c r="T1172" i="1"/>
  <c r="U1172" i="1"/>
  <c r="Z1172" i="1"/>
  <c r="AA1172" i="1"/>
  <c r="B1173" i="1"/>
  <c r="E1173" i="1"/>
  <c r="K1173" i="1"/>
  <c r="L1173" i="1"/>
  <c r="M1173" i="1"/>
  <c r="N1173" i="1"/>
  <c r="T1173" i="1"/>
  <c r="U1173" i="1"/>
  <c r="Z1173" i="1"/>
  <c r="AA1173" i="1"/>
  <c r="B1174" i="1"/>
  <c r="E1174" i="1"/>
  <c r="K1174" i="1"/>
  <c r="L1174" i="1"/>
  <c r="M1174" i="1"/>
  <c r="N1174" i="1"/>
  <c r="T1174" i="1"/>
  <c r="U1174" i="1"/>
  <c r="Z1174" i="1"/>
  <c r="AA1174" i="1"/>
  <c r="B1175" i="1"/>
  <c r="E1175" i="1"/>
  <c r="K1175" i="1"/>
  <c r="L1175" i="1"/>
  <c r="M1175" i="1"/>
  <c r="N1175" i="1"/>
  <c r="T1175" i="1"/>
  <c r="U1175" i="1"/>
  <c r="Z1175" i="1"/>
  <c r="AA1175" i="1"/>
  <c r="B1176" i="1"/>
  <c r="E1176" i="1"/>
  <c r="K1176" i="1"/>
  <c r="L1176" i="1"/>
  <c r="M1176" i="1"/>
  <c r="N1176" i="1"/>
  <c r="T1176" i="1"/>
  <c r="U1176" i="1"/>
  <c r="Z1176" i="1"/>
  <c r="AA1176" i="1"/>
  <c r="B1177" i="1"/>
  <c r="E1177" i="1"/>
  <c r="K1177" i="1"/>
  <c r="L1177" i="1"/>
  <c r="M1177" i="1"/>
  <c r="N1177" i="1"/>
  <c r="T1177" i="1"/>
  <c r="U1177" i="1"/>
  <c r="Z1177" i="1"/>
  <c r="AA1177" i="1"/>
  <c r="B1178" i="1"/>
  <c r="E1178" i="1"/>
  <c r="K1178" i="1"/>
  <c r="L1178" i="1"/>
  <c r="M1178" i="1"/>
  <c r="N1178" i="1"/>
  <c r="T1178" i="1"/>
  <c r="U1178" i="1"/>
  <c r="Z1178" i="1"/>
  <c r="AA1178" i="1"/>
  <c r="B1179" i="1"/>
  <c r="E1179" i="1"/>
  <c r="K1179" i="1"/>
  <c r="L1179" i="1"/>
  <c r="M1179" i="1"/>
  <c r="N1179" i="1"/>
  <c r="T1179" i="1"/>
  <c r="U1179" i="1"/>
  <c r="Z1179" i="1"/>
  <c r="AA1179" i="1"/>
  <c r="B1180" i="1"/>
  <c r="E1180" i="1"/>
  <c r="K1180" i="1"/>
  <c r="L1180" i="1"/>
  <c r="M1180" i="1"/>
  <c r="N1180" i="1"/>
  <c r="T1180" i="1"/>
  <c r="U1180" i="1"/>
  <c r="Z1180" i="1"/>
  <c r="AA1180" i="1"/>
  <c r="B1181" i="1"/>
  <c r="E1181" i="1"/>
  <c r="K1181" i="1"/>
  <c r="L1181" i="1"/>
  <c r="M1181" i="1"/>
  <c r="N1181" i="1"/>
  <c r="T1181" i="1"/>
  <c r="U1181" i="1"/>
  <c r="Z1181" i="1"/>
  <c r="AA1181" i="1"/>
  <c r="B1182" i="1"/>
  <c r="E1182" i="1"/>
  <c r="K1182" i="1"/>
  <c r="L1182" i="1"/>
  <c r="M1182" i="1"/>
  <c r="N1182" i="1"/>
  <c r="T1182" i="1"/>
  <c r="U1182" i="1"/>
  <c r="Z1182" i="1"/>
  <c r="AA1182" i="1"/>
  <c r="B1183" i="1"/>
  <c r="E1183" i="1"/>
  <c r="K1183" i="1"/>
  <c r="L1183" i="1"/>
  <c r="M1183" i="1"/>
  <c r="N1183" i="1"/>
  <c r="T1183" i="1"/>
  <c r="U1183" i="1"/>
  <c r="Z1183" i="1"/>
  <c r="AA1183" i="1"/>
  <c r="B1184" i="1"/>
  <c r="E1184" i="1"/>
  <c r="K1184" i="1"/>
  <c r="L1184" i="1"/>
  <c r="M1184" i="1"/>
  <c r="N1184" i="1"/>
  <c r="T1184" i="1"/>
  <c r="U1184" i="1"/>
  <c r="Z1184" i="1"/>
  <c r="AA1184" i="1"/>
  <c r="B1185" i="1"/>
  <c r="E1185" i="1"/>
  <c r="K1185" i="1"/>
  <c r="L1185" i="1"/>
  <c r="M1185" i="1"/>
  <c r="N1185" i="1"/>
  <c r="T1185" i="1"/>
  <c r="U1185" i="1"/>
  <c r="Z1185" i="1"/>
  <c r="AA1185" i="1"/>
  <c r="B1186" i="1"/>
  <c r="E1186" i="1"/>
  <c r="K1186" i="1"/>
  <c r="L1186" i="1"/>
  <c r="M1186" i="1"/>
  <c r="N1186" i="1"/>
  <c r="T1186" i="1"/>
  <c r="U1186" i="1"/>
  <c r="Z1186" i="1"/>
  <c r="AA1186" i="1"/>
  <c r="B1187" i="1"/>
  <c r="E1187" i="1"/>
  <c r="K1187" i="1"/>
  <c r="L1187" i="1"/>
  <c r="M1187" i="1"/>
  <c r="N1187" i="1"/>
  <c r="T1187" i="1"/>
  <c r="U1187" i="1"/>
  <c r="Z1187" i="1"/>
  <c r="AA1187" i="1"/>
  <c r="B1188" i="1"/>
  <c r="E1188" i="1"/>
  <c r="K1188" i="1"/>
  <c r="L1188" i="1"/>
  <c r="M1188" i="1"/>
  <c r="N1188" i="1"/>
  <c r="T1188" i="1"/>
  <c r="U1188" i="1"/>
  <c r="Z1188" i="1"/>
  <c r="AA1188" i="1"/>
  <c r="B1189" i="1"/>
  <c r="E1189" i="1"/>
  <c r="K1189" i="1"/>
  <c r="L1189" i="1"/>
  <c r="M1189" i="1"/>
  <c r="N1189" i="1"/>
  <c r="T1189" i="1"/>
  <c r="U1189" i="1"/>
  <c r="Z1189" i="1"/>
  <c r="AA1189" i="1"/>
  <c r="B1190" i="1"/>
  <c r="E1190" i="1"/>
  <c r="K1190" i="1"/>
  <c r="L1190" i="1"/>
  <c r="M1190" i="1"/>
  <c r="N1190" i="1"/>
  <c r="T1190" i="1"/>
  <c r="U1190" i="1"/>
  <c r="Z1190" i="1"/>
  <c r="AA1190" i="1"/>
  <c r="B1191" i="1"/>
  <c r="E1191" i="1"/>
  <c r="K1191" i="1"/>
  <c r="L1191" i="1"/>
  <c r="M1191" i="1"/>
  <c r="N1191" i="1"/>
  <c r="T1191" i="1"/>
  <c r="U1191" i="1"/>
  <c r="Z1191" i="1"/>
  <c r="AA1191" i="1"/>
  <c r="B1192" i="1"/>
  <c r="E1192" i="1"/>
  <c r="K1192" i="1"/>
  <c r="L1192" i="1"/>
  <c r="M1192" i="1"/>
  <c r="N1192" i="1"/>
  <c r="T1192" i="1"/>
  <c r="U1192" i="1"/>
  <c r="Z1192" i="1"/>
  <c r="AA1192" i="1"/>
  <c r="B1193" i="1"/>
  <c r="E1193" i="1"/>
  <c r="K1193" i="1"/>
  <c r="L1193" i="1"/>
  <c r="M1193" i="1"/>
  <c r="N1193" i="1"/>
  <c r="T1193" i="1"/>
  <c r="U1193" i="1"/>
  <c r="Z1193" i="1"/>
  <c r="AA1193" i="1"/>
  <c r="B1194" i="1"/>
  <c r="E1194" i="1"/>
  <c r="K1194" i="1"/>
  <c r="L1194" i="1"/>
  <c r="M1194" i="1"/>
  <c r="N1194" i="1"/>
  <c r="T1194" i="1"/>
  <c r="U1194" i="1"/>
  <c r="Z1194" i="1"/>
  <c r="AA1194" i="1"/>
  <c r="B1195" i="1"/>
  <c r="E1195" i="1"/>
  <c r="K1195" i="1"/>
  <c r="L1195" i="1"/>
  <c r="M1195" i="1"/>
  <c r="N1195" i="1"/>
  <c r="T1195" i="1"/>
  <c r="U1195" i="1"/>
  <c r="Z1195" i="1"/>
  <c r="AA1195" i="1"/>
  <c r="B1196" i="1"/>
  <c r="E1196" i="1"/>
  <c r="K1196" i="1"/>
  <c r="L1196" i="1"/>
  <c r="M1196" i="1"/>
  <c r="N1196" i="1"/>
  <c r="T1196" i="1"/>
  <c r="U1196" i="1"/>
  <c r="Z1196" i="1"/>
  <c r="AA1196" i="1"/>
  <c r="B1197" i="1"/>
  <c r="E1197" i="1"/>
  <c r="K1197" i="1"/>
  <c r="L1197" i="1"/>
  <c r="M1197" i="1"/>
  <c r="N1197" i="1"/>
  <c r="T1197" i="1"/>
  <c r="U1197" i="1"/>
  <c r="Z1197" i="1"/>
  <c r="AA1197" i="1"/>
  <c r="B1198" i="1"/>
  <c r="E1198" i="1"/>
  <c r="K1198" i="1"/>
  <c r="L1198" i="1"/>
  <c r="M1198" i="1"/>
  <c r="N1198" i="1"/>
  <c r="T1198" i="1"/>
  <c r="U1198" i="1"/>
  <c r="Z1198" i="1"/>
  <c r="AA1198" i="1"/>
  <c r="B1199" i="1"/>
  <c r="E1199" i="1"/>
  <c r="K1199" i="1"/>
  <c r="L1199" i="1"/>
  <c r="M1199" i="1"/>
  <c r="N1199" i="1"/>
  <c r="T1199" i="1"/>
  <c r="U1199" i="1"/>
  <c r="Z1199" i="1"/>
  <c r="AA1199" i="1"/>
  <c r="B1200" i="1"/>
  <c r="E1200" i="1"/>
  <c r="K1200" i="1"/>
  <c r="L1200" i="1"/>
  <c r="M1200" i="1"/>
  <c r="N1200" i="1"/>
  <c r="T1200" i="1"/>
  <c r="U1200" i="1"/>
  <c r="Z1200" i="1"/>
  <c r="AA1200" i="1"/>
  <c r="B1201" i="1"/>
  <c r="E1201" i="1"/>
  <c r="K1201" i="1"/>
  <c r="L1201" i="1"/>
  <c r="M1201" i="1"/>
  <c r="N1201" i="1"/>
  <c r="T1201" i="1"/>
  <c r="U1201" i="1"/>
  <c r="Z1201" i="1"/>
  <c r="AA1201" i="1"/>
  <c r="B1202" i="1"/>
  <c r="E1202" i="1"/>
  <c r="K1202" i="1"/>
  <c r="L1202" i="1"/>
  <c r="M1202" i="1"/>
  <c r="N1202" i="1"/>
  <c r="T1202" i="1"/>
  <c r="U1202" i="1"/>
  <c r="Z1202" i="1"/>
  <c r="AA1202" i="1"/>
  <c r="B1203" i="1"/>
  <c r="E1203" i="1"/>
  <c r="K1203" i="1"/>
  <c r="L1203" i="1"/>
  <c r="M1203" i="1"/>
  <c r="N1203" i="1"/>
  <c r="T1203" i="1"/>
  <c r="U1203" i="1"/>
  <c r="Z1203" i="1"/>
  <c r="AA1203" i="1"/>
  <c r="B1204" i="1"/>
  <c r="E1204" i="1"/>
  <c r="K1204" i="1"/>
  <c r="L1204" i="1"/>
  <c r="M1204" i="1"/>
  <c r="N1204" i="1"/>
  <c r="T1204" i="1"/>
  <c r="U1204" i="1"/>
  <c r="Z1204" i="1"/>
  <c r="AA1204" i="1"/>
  <c r="B1205" i="1"/>
  <c r="E1205" i="1"/>
  <c r="K1205" i="1"/>
  <c r="L1205" i="1"/>
  <c r="M1205" i="1"/>
  <c r="N1205" i="1"/>
  <c r="T1205" i="1"/>
  <c r="U1205" i="1"/>
  <c r="Z1205" i="1"/>
  <c r="AA1205" i="1"/>
  <c r="B1206" i="1"/>
  <c r="E1206" i="1"/>
  <c r="K1206" i="1"/>
  <c r="L1206" i="1"/>
  <c r="M1206" i="1"/>
  <c r="N1206" i="1"/>
  <c r="T1206" i="1"/>
  <c r="U1206" i="1"/>
  <c r="Z1206" i="1"/>
  <c r="AA1206" i="1"/>
  <c r="B1207" i="1"/>
  <c r="E1207" i="1"/>
  <c r="K1207" i="1"/>
  <c r="L1207" i="1"/>
  <c r="M1207" i="1"/>
  <c r="N1207" i="1"/>
  <c r="T1207" i="1"/>
  <c r="U1207" i="1"/>
  <c r="Z1207" i="1"/>
  <c r="AA1207" i="1"/>
  <c r="B1208" i="1"/>
  <c r="E1208" i="1"/>
  <c r="K1208" i="1"/>
  <c r="L1208" i="1"/>
  <c r="M1208" i="1"/>
  <c r="N1208" i="1"/>
  <c r="T1208" i="1"/>
  <c r="U1208" i="1"/>
  <c r="Z1208" i="1"/>
  <c r="AA1208" i="1"/>
  <c r="B1209" i="1"/>
  <c r="E1209" i="1"/>
  <c r="K1209" i="1"/>
  <c r="L1209" i="1"/>
  <c r="M1209" i="1"/>
  <c r="N1209" i="1"/>
  <c r="T1209" i="1"/>
  <c r="U1209" i="1"/>
  <c r="Z1209" i="1"/>
  <c r="AA1209" i="1"/>
  <c r="B1210" i="1"/>
  <c r="E1210" i="1"/>
  <c r="K1210" i="1"/>
  <c r="L1210" i="1"/>
  <c r="M1210" i="1"/>
  <c r="N1210" i="1"/>
  <c r="T1210" i="1"/>
  <c r="U1210" i="1"/>
  <c r="Z1210" i="1"/>
  <c r="AA1210" i="1"/>
  <c r="B1211" i="1"/>
  <c r="E1211" i="1"/>
  <c r="K1211" i="1"/>
  <c r="L1211" i="1"/>
  <c r="M1211" i="1"/>
  <c r="N1211" i="1"/>
  <c r="T1211" i="1"/>
  <c r="U1211" i="1"/>
  <c r="Z1211" i="1"/>
  <c r="AA1211" i="1"/>
  <c r="B1212" i="1"/>
  <c r="E1212" i="1"/>
  <c r="K1212" i="1"/>
  <c r="L1212" i="1"/>
  <c r="M1212" i="1"/>
  <c r="N1212" i="1"/>
  <c r="T1212" i="1"/>
  <c r="U1212" i="1"/>
  <c r="Z1212" i="1"/>
  <c r="AA1212" i="1"/>
  <c r="B1213" i="1"/>
  <c r="E1213" i="1"/>
  <c r="K1213" i="1"/>
  <c r="L1213" i="1"/>
  <c r="M1213" i="1"/>
  <c r="N1213" i="1"/>
  <c r="T1213" i="1"/>
  <c r="U1213" i="1"/>
  <c r="Z1213" i="1"/>
  <c r="AA1213" i="1"/>
  <c r="B1214" i="1"/>
  <c r="E1214" i="1"/>
  <c r="K1214" i="1"/>
  <c r="L1214" i="1"/>
  <c r="M1214" i="1"/>
  <c r="N1214" i="1"/>
  <c r="T1214" i="1"/>
  <c r="U1214" i="1"/>
  <c r="Z1214" i="1"/>
  <c r="AA1214" i="1"/>
  <c r="B1215" i="1"/>
  <c r="E1215" i="1"/>
  <c r="K1215" i="1"/>
  <c r="L1215" i="1"/>
  <c r="M1215" i="1"/>
  <c r="N1215" i="1"/>
  <c r="T1215" i="1"/>
  <c r="U1215" i="1"/>
  <c r="Z1215" i="1"/>
  <c r="AA1215" i="1"/>
  <c r="B1216" i="1"/>
  <c r="E1216" i="1"/>
  <c r="K1216" i="1"/>
  <c r="L1216" i="1"/>
  <c r="M1216" i="1"/>
  <c r="N1216" i="1"/>
  <c r="T1216" i="1"/>
  <c r="U1216" i="1"/>
  <c r="Z1216" i="1"/>
  <c r="AA1216" i="1"/>
  <c r="B1217" i="1"/>
  <c r="E1217" i="1"/>
  <c r="K1217" i="1"/>
  <c r="L1217" i="1"/>
  <c r="M1217" i="1"/>
  <c r="N1217" i="1"/>
  <c r="T1217" i="1"/>
  <c r="U1217" i="1"/>
  <c r="Z1217" i="1"/>
  <c r="AA1217" i="1"/>
  <c r="B1218" i="1"/>
  <c r="E1218" i="1"/>
  <c r="K1218" i="1"/>
  <c r="L1218" i="1"/>
  <c r="M1218" i="1"/>
  <c r="N1218" i="1"/>
  <c r="T1218" i="1"/>
  <c r="U1218" i="1"/>
  <c r="Z1218" i="1"/>
  <c r="AA1218" i="1"/>
  <c r="B1219" i="1"/>
  <c r="E1219" i="1"/>
  <c r="K1219" i="1"/>
  <c r="L1219" i="1"/>
  <c r="M1219" i="1"/>
  <c r="N1219" i="1"/>
  <c r="T1219" i="1"/>
  <c r="U1219" i="1"/>
  <c r="Z1219" i="1"/>
  <c r="AA1219" i="1"/>
  <c r="B1220" i="1"/>
  <c r="E1220" i="1"/>
  <c r="K1220" i="1"/>
  <c r="L1220" i="1"/>
  <c r="M1220" i="1"/>
  <c r="N1220" i="1"/>
  <c r="T1220" i="1"/>
  <c r="U1220" i="1"/>
  <c r="Z1220" i="1"/>
  <c r="AA1220" i="1"/>
  <c r="B1221" i="1"/>
  <c r="E1221" i="1"/>
  <c r="K1221" i="1"/>
  <c r="L1221" i="1"/>
  <c r="M1221" i="1"/>
  <c r="N1221" i="1"/>
  <c r="T1221" i="1"/>
  <c r="U1221" i="1"/>
  <c r="Z1221" i="1"/>
  <c r="AA1221" i="1"/>
  <c r="B1222" i="1"/>
  <c r="E1222" i="1"/>
  <c r="K1222" i="1"/>
  <c r="L1222" i="1"/>
  <c r="M1222" i="1"/>
  <c r="N1222" i="1"/>
  <c r="T1222" i="1"/>
  <c r="U1222" i="1"/>
  <c r="Z1222" i="1"/>
  <c r="AA1222" i="1"/>
  <c r="B1223" i="1"/>
  <c r="E1223" i="1"/>
  <c r="K1223" i="1"/>
  <c r="L1223" i="1"/>
  <c r="M1223" i="1"/>
  <c r="N1223" i="1"/>
  <c r="T1223" i="1"/>
  <c r="U1223" i="1"/>
  <c r="Z1223" i="1"/>
  <c r="AA1223" i="1"/>
  <c r="B1224" i="1"/>
  <c r="E1224" i="1"/>
  <c r="K1224" i="1"/>
  <c r="L1224" i="1"/>
  <c r="M1224" i="1"/>
  <c r="N1224" i="1"/>
  <c r="T1224" i="1"/>
  <c r="U1224" i="1"/>
  <c r="Z1224" i="1"/>
  <c r="AA1224" i="1"/>
  <c r="B1225" i="1"/>
  <c r="E1225" i="1"/>
  <c r="K1225" i="1"/>
  <c r="L1225" i="1"/>
  <c r="M1225" i="1"/>
  <c r="N1225" i="1"/>
  <c r="T1225" i="1"/>
  <c r="U1225" i="1"/>
  <c r="Z1225" i="1"/>
  <c r="AA1225" i="1"/>
  <c r="B1226" i="1"/>
  <c r="E1226" i="1"/>
  <c r="K1226" i="1"/>
  <c r="L1226" i="1"/>
  <c r="M1226" i="1"/>
  <c r="N1226" i="1"/>
  <c r="T1226" i="1"/>
  <c r="U1226" i="1"/>
  <c r="Z1226" i="1"/>
  <c r="AA1226" i="1"/>
  <c r="B1227" i="1"/>
  <c r="E1227" i="1"/>
  <c r="K1227" i="1"/>
  <c r="L1227" i="1"/>
  <c r="M1227" i="1"/>
  <c r="N1227" i="1"/>
  <c r="T1227" i="1"/>
  <c r="U1227" i="1"/>
  <c r="Z1227" i="1"/>
  <c r="AA1227" i="1"/>
  <c r="B1228" i="1"/>
  <c r="E1228" i="1"/>
  <c r="K1228" i="1"/>
  <c r="L1228" i="1"/>
  <c r="M1228" i="1"/>
  <c r="N1228" i="1"/>
  <c r="T1228" i="1"/>
  <c r="U1228" i="1"/>
  <c r="Z1228" i="1"/>
  <c r="AA1228" i="1"/>
  <c r="B1229" i="1"/>
  <c r="E1229" i="1"/>
  <c r="K1229" i="1"/>
  <c r="L1229" i="1"/>
  <c r="M1229" i="1"/>
  <c r="N1229" i="1"/>
  <c r="T1229" i="1"/>
  <c r="U1229" i="1"/>
  <c r="Z1229" i="1"/>
  <c r="AA1229" i="1"/>
  <c r="B1230" i="1"/>
  <c r="E1230" i="1"/>
  <c r="K1230" i="1"/>
  <c r="L1230" i="1"/>
  <c r="M1230" i="1"/>
  <c r="N1230" i="1"/>
  <c r="T1230" i="1"/>
  <c r="U1230" i="1"/>
  <c r="Z1230" i="1"/>
  <c r="AA1230" i="1"/>
  <c r="B1231" i="1"/>
  <c r="E1231" i="1"/>
  <c r="K1231" i="1"/>
  <c r="L1231" i="1"/>
  <c r="M1231" i="1"/>
  <c r="N1231" i="1"/>
  <c r="T1231" i="1"/>
  <c r="U1231" i="1"/>
  <c r="Z1231" i="1"/>
  <c r="AA1231" i="1"/>
  <c r="B1232" i="1"/>
  <c r="E1232" i="1"/>
  <c r="K1232" i="1"/>
  <c r="L1232" i="1"/>
  <c r="M1232" i="1"/>
  <c r="N1232" i="1"/>
  <c r="T1232" i="1"/>
  <c r="U1232" i="1"/>
  <c r="Z1232" i="1"/>
  <c r="AA1232" i="1"/>
  <c r="B1233" i="1"/>
  <c r="E1233" i="1"/>
  <c r="K1233" i="1"/>
  <c r="L1233" i="1"/>
  <c r="M1233" i="1"/>
  <c r="N1233" i="1"/>
  <c r="T1233" i="1"/>
  <c r="U1233" i="1"/>
  <c r="Z1233" i="1"/>
  <c r="AA1233" i="1"/>
  <c r="B1234" i="1"/>
  <c r="E1234" i="1"/>
  <c r="K1234" i="1"/>
  <c r="L1234" i="1"/>
  <c r="M1234" i="1"/>
  <c r="N1234" i="1"/>
  <c r="T1234" i="1"/>
  <c r="U1234" i="1"/>
  <c r="Z1234" i="1"/>
  <c r="AA1234" i="1"/>
  <c r="B1235" i="1"/>
  <c r="E1235" i="1"/>
  <c r="K1235" i="1"/>
  <c r="L1235" i="1"/>
  <c r="M1235" i="1"/>
  <c r="N1235" i="1"/>
  <c r="T1235" i="1"/>
  <c r="U1235" i="1"/>
  <c r="Z1235" i="1"/>
  <c r="AA1235" i="1"/>
  <c r="B1236" i="1"/>
  <c r="E1236" i="1"/>
  <c r="K1236" i="1"/>
  <c r="L1236" i="1"/>
  <c r="M1236" i="1"/>
  <c r="N1236" i="1"/>
  <c r="T1236" i="1"/>
  <c r="U1236" i="1"/>
  <c r="Z1236" i="1"/>
  <c r="AA1236" i="1"/>
  <c r="B1237" i="1"/>
  <c r="E1237" i="1"/>
  <c r="K1237" i="1"/>
  <c r="L1237" i="1"/>
  <c r="M1237" i="1"/>
  <c r="N1237" i="1"/>
  <c r="T1237" i="1"/>
  <c r="U1237" i="1"/>
  <c r="Z1237" i="1"/>
  <c r="AA1237" i="1"/>
  <c r="B1238" i="1"/>
  <c r="E1238" i="1"/>
  <c r="K1238" i="1"/>
  <c r="L1238" i="1"/>
  <c r="M1238" i="1"/>
  <c r="N1238" i="1"/>
  <c r="T1238" i="1"/>
  <c r="U1238" i="1"/>
  <c r="Z1238" i="1"/>
  <c r="AA1238" i="1"/>
  <c r="B1239" i="1"/>
  <c r="E1239" i="1"/>
  <c r="K1239" i="1"/>
  <c r="L1239" i="1"/>
  <c r="M1239" i="1"/>
  <c r="N1239" i="1"/>
  <c r="T1239" i="1"/>
  <c r="U1239" i="1"/>
  <c r="Z1239" i="1"/>
  <c r="AA1239" i="1"/>
  <c r="B1240" i="1"/>
  <c r="E1240" i="1"/>
  <c r="K1240" i="1"/>
  <c r="L1240" i="1"/>
  <c r="M1240" i="1"/>
  <c r="N1240" i="1"/>
  <c r="T1240" i="1"/>
  <c r="U1240" i="1"/>
  <c r="Z1240" i="1"/>
  <c r="AA1240" i="1"/>
  <c r="B1241" i="1"/>
  <c r="E1241" i="1"/>
  <c r="K1241" i="1"/>
  <c r="L1241" i="1"/>
  <c r="M1241" i="1"/>
  <c r="N1241" i="1"/>
  <c r="T1241" i="1"/>
  <c r="U1241" i="1"/>
  <c r="Z1241" i="1"/>
  <c r="AA1241" i="1"/>
  <c r="B1242" i="1"/>
  <c r="E1242" i="1"/>
  <c r="K1242" i="1"/>
  <c r="L1242" i="1"/>
  <c r="M1242" i="1"/>
  <c r="N1242" i="1"/>
  <c r="T1242" i="1"/>
  <c r="U1242" i="1"/>
  <c r="Z1242" i="1"/>
  <c r="AA1242" i="1"/>
  <c r="B1243" i="1"/>
  <c r="E1243" i="1"/>
  <c r="K1243" i="1"/>
  <c r="L1243" i="1"/>
  <c r="M1243" i="1"/>
  <c r="N1243" i="1"/>
  <c r="T1243" i="1"/>
  <c r="U1243" i="1"/>
  <c r="Z1243" i="1"/>
  <c r="AA1243" i="1"/>
  <c r="B1244" i="1"/>
  <c r="E1244" i="1"/>
  <c r="K1244" i="1"/>
  <c r="L1244" i="1"/>
  <c r="M1244" i="1"/>
  <c r="N1244" i="1"/>
  <c r="T1244" i="1"/>
  <c r="U1244" i="1"/>
  <c r="Z1244" i="1"/>
  <c r="AA1244" i="1"/>
  <c r="B1245" i="1"/>
  <c r="E1245" i="1"/>
  <c r="K1245" i="1"/>
  <c r="L1245" i="1"/>
  <c r="M1245" i="1"/>
  <c r="N1245" i="1"/>
  <c r="T1245" i="1"/>
  <c r="U1245" i="1"/>
  <c r="Z1245" i="1"/>
  <c r="AA1245" i="1"/>
  <c r="B1246" i="1"/>
  <c r="E1246" i="1"/>
  <c r="K1246" i="1"/>
  <c r="L1246" i="1"/>
  <c r="M1246" i="1"/>
  <c r="N1246" i="1"/>
  <c r="T1246" i="1"/>
  <c r="U1246" i="1"/>
  <c r="Z1246" i="1"/>
  <c r="AA1246" i="1"/>
  <c r="B1247" i="1"/>
  <c r="E1247" i="1"/>
  <c r="K1247" i="1"/>
  <c r="L1247" i="1"/>
  <c r="M1247" i="1"/>
  <c r="N1247" i="1"/>
  <c r="T1247" i="1"/>
  <c r="U1247" i="1"/>
  <c r="Z1247" i="1"/>
  <c r="AA1247" i="1"/>
  <c r="B1248" i="1"/>
  <c r="E1248" i="1"/>
  <c r="K1248" i="1"/>
  <c r="L1248" i="1"/>
  <c r="M1248" i="1"/>
  <c r="N1248" i="1"/>
  <c r="T1248" i="1"/>
  <c r="U1248" i="1"/>
  <c r="Z1248" i="1"/>
  <c r="AA1248" i="1"/>
  <c r="B1249" i="1"/>
  <c r="E1249" i="1"/>
  <c r="K1249" i="1"/>
  <c r="L1249" i="1"/>
  <c r="M1249" i="1"/>
  <c r="N1249" i="1"/>
  <c r="T1249" i="1"/>
  <c r="U1249" i="1"/>
  <c r="Z1249" i="1"/>
  <c r="AA1249" i="1"/>
  <c r="B1250" i="1"/>
  <c r="E1250" i="1"/>
  <c r="K1250" i="1"/>
  <c r="L1250" i="1"/>
  <c r="M1250" i="1"/>
  <c r="N1250" i="1"/>
  <c r="T1250" i="1"/>
  <c r="U1250" i="1"/>
  <c r="Z1250" i="1"/>
  <c r="AA1250" i="1"/>
  <c r="B1251" i="1"/>
  <c r="E1251" i="1"/>
  <c r="K1251" i="1"/>
  <c r="L1251" i="1"/>
  <c r="M1251" i="1"/>
  <c r="N1251" i="1"/>
  <c r="T1251" i="1"/>
  <c r="U1251" i="1"/>
  <c r="Z1251" i="1"/>
  <c r="AA1251" i="1"/>
  <c r="B1252" i="1"/>
  <c r="E1252" i="1"/>
  <c r="K1252" i="1"/>
  <c r="L1252" i="1"/>
  <c r="M1252" i="1"/>
  <c r="N1252" i="1"/>
  <c r="T1252" i="1"/>
  <c r="U1252" i="1"/>
  <c r="Z1252" i="1"/>
  <c r="AA1252" i="1"/>
  <c r="B1253" i="1"/>
  <c r="E1253" i="1"/>
  <c r="K1253" i="1"/>
  <c r="L1253" i="1"/>
  <c r="M1253" i="1"/>
  <c r="N1253" i="1"/>
  <c r="T1253" i="1"/>
  <c r="U1253" i="1"/>
  <c r="Z1253" i="1"/>
  <c r="AA1253" i="1"/>
  <c r="B1254" i="1"/>
  <c r="E1254" i="1"/>
  <c r="K1254" i="1"/>
  <c r="L1254" i="1"/>
  <c r="M1254" i="1"/>
  <c r="N1254" i="1"/>
  <c r="T1254" i="1"/>
  <c r="U1254" i="1"/>
  <c r="Z1254" i="1"/>
  <c r="AA1254" i="1"/>
  <c r="B1255" i="1"/>
  <c r="E1255" i="1"/>
  <c r="K1255" i="1"/>
  <c r="L1255" i="1"/>
  <c r="M1255" i="1"/>
  <c r="N1255" i="1"/>
  <c r="T1255" i="1"/>
  <c r="U1255" i="1"/>
  <c r="Z1255" i="1"/>
  <c r="AA1255" i="1"/>
  <c r="B1256" i="1"/>
  <c r="E1256" i="1"/>
  <c r="K1256" i="1"/>
  <c r="L1256" i="1"/>
  <c r="M1256" i="1"/>
  <c r="N1256" i="1"/>
  <c r="T1256" i="1"/>
  <c r="U1256" i="1"/>
  <c r="Z1256" i="1"/>
  <c r="AA1256" i="1"/>
  <c r="B1257" i="1"/>
  <c r="E1257" i="1"/>
  <c r="K1257" i="1"/>
  <c r="L1257" i="1"/>
  <c r="M1257" i="1"/>
  <c r="N1257" i="1"/>
  <c r="T1257" i="1"/>
  <c r="U1257" i="1"/>
  <c r="Z1257" i="1"/>
  <c r="AA1257" i="1"/>
  <c r="B1258" i="1"/>
  <c r="E1258" i="1"/>
  <c r="K1258" i="1"/>
  <c r="L1258" i="1"/>
  <c r="M1258" i="1"/>
  <c r="N1258" i="1"/>
  <c r="T1258" i="1"/>
  <c r="U1258" i="1"/>
  <c r="Z1258" i="1"/>
  <c r="AA1258" i="1"/>
  <c r="B1259" i="1"/>
  <c r="E1259" i="1"/>
  <c r="K1259" i="1"/>
  <c r="L1259" i="1"/>
  <c r="M1259" i="1"/>
  <c r="N1259" i="1"/>
  <c r="T1259" i="1"/>
  <c r="U1259" i="1"/>
  <c r="Z1259" i="1"/>
  <c r="AA1259" i="1"/>
  <c r="B1260" i="1"/>
  <c r="E1260" i="1"/>
  <c r="K1260" i="1"/>
  <c r="L1260" i="1"/>
  <c r="M1260" i="1"/>
  <c r="N1260" i="1"/>
  <c r="T1260" i="1"/>
  <c r="U1260" i="1"/>
  <c r="Z1260" i="1"/>
  <c r="AA1260" i="1"/>
  <c r="B1261" i="1"/>
  <c r="E1261" i="1"/>
  <c r="K1261" i="1"/>
  <c r="L1261" i="1"/>
  <c r="M1261" i="1"/>
  <c r="N1261" i="1"/>
  <c r="T1261" i="1"/>
  <c r="U1261" i="1"/>
  <c r="Z1261" i="1"/>
  <c r="AA1261" i="1"/>
  <c r="B1262" i="1"/>
  <c r="E1262" i="1"/>
  <c r="K1262" i="1"/>
  <c r="L1262" i="1"/>
  <c r="M1262" i="1"/>
  <c r="N1262" i="1"/>
  <c r="T1262" i="1"/>
  <c r="U1262" i="1"/>
  <c r="Z1262" i="1"/>
  <c r="AA1262" i="1"/>
  <c r="B1263" i="1"/>
  <c r="E1263" i="1"/>
  <c r="K1263" i="1"/>
  <c r="L1263" i="1"/>
  <c r="M1263" i="1"/>
  <c r="N1263" i="1"/>
  <c r="T1263" i="1"/>
  <c r="U1263" i="1"/>
  <c r="Z1263" i="1"/>
  <c r="AA1263" i="1"/>
  <c r="B1264" i="1"/>
  <c r="E1264" i="1"/>
  <c r="K1264" i="1"/>
  <c r="L1264" i="1"/>
  <c r="M1264" i="1"/>
  <c r="N1264" i="1"/>
  <c r="T1264" i="1"/>
  <c r="U1264" i="1"/>
  <c r="Z1264" i="1"/>
  <c r="AA1264" i="1"/>
  <c r="B1265" i="1"/>
  <c r="E1265" i="1"/>
  <c r="K1265" i="1"/>
  <c r="L1265" i="1"/>
  <c r="M1265" i="1"/>
  <c r="N1265" i="1"/>
  <c r="T1265" i="1"/>
  <c r="U1265" i="1"/>
  <c r="Z1265" i="1"/>
  <c r="AA1265" i="1"/>
  <c r="B1266" i="1"/>
  <c r="E1266" i="1"/>
  <c r="K1266" i="1"/>
  <c r="L1266" i="1"/>
  <c r="M1266" i="1"/>
  <c r="N1266" i="1"/>
  <c r="T1266" i="1"/>
  <c r="U1266" i="1"/>
  <c r="Z1266" i="1"/>
  <c r="AA1266" i="1"/>
  <c r="B1267" i="1"/>
  <c r="E1267" i="1"/>
  <c r="K1267" i="1"/>
  <c r="L1267" i="1"/>
  <c r="M1267" i="1"/>
  <c r="N1267" i="1"/>
  <c r="T1267" i="1"/>
  <c r="U1267" i="1"/>
  <c r="Z1267" i="1"/>
  <c r="AA1267" i="1"/>
  <c r="B1268" i="1"/>
  <c r="E1268" i="1"/>
  <c r="K1268" i="1"/>
  <c r="L1268" i="1"/>
  <c r="M1268" i="1"/>
  <c r="N1268" i="1"/>
  <c r="T1268" i="1"/>
  <c r="U1268" i="1"/>
  <c r="Z1268" i="1"/>
  <c r="AA1268" i="1"/>
  <c r="B1269" i="1"/>
  <c r="E1269" i="1"/>
  <c r="K1269" i="1"/>
  <c r="L1269" i="1"/>
  <c r="M1269" i="1"/>
  <c r="N1269" i="1"/>
  <c r="T1269" i="1"/>
  <c r="U1269" i="1"/>
  <c r="Z1269" i="1"/>
  <c r="AA1269" i="1"/>
  <c r="B1270" i="1"/>
  <c r="E1270" i="1"/>
  <c r="K1270" i="1"/>
  <c r="L1270" i="1"/>
  <c r="M1270" i="1"/>
  <c r="N1270" i="1"/>
  <c r="T1270" i="1"/>
  <c r="U1270" i="1"/>
  <c r="Z1270" i="1"/>
  <c r="AA1270" i="1"/>
  <c r="B1271" i="1"/>
  <c r="E1271" i="1"/>
  <c r="K1271" i="1"/>
  <c r="L1271" i="1"/>
  <c r="M1271" i="1"/>
  <c r="N1271" i="1"/>
  <c r="T1271" i="1"/>
  <c r="U1271" i="1"/>
  <c r="Z1271" i="1"/>
  <c r="AA1271" i="1"/>
  <c r="B1272" i="1"/>
  <c r="E1272" i="1"/>
  <c r="K1272" i="1"/>
  <c r="L1272" i="1"/>
  <c r="M1272" i="1"/>
  <c r="N1272" i="1"/>
  <c r="T1272" i="1"/>
  <c r="U1272" i="1"/>
  <c r="Z1272" i="1"/>
  <c r="AA1272" i="1"/>
  <c r="B1273" i="1"/>
  <c r="E1273" i="1"/>
  <c r="K1273" i="1"/>
  <c r="L1273" i="1"/>
  <c r="M1273" i="1"/>
  <c r="N1273" i="1"/>
  <c r="T1273" i="1"/>
  <c r="U1273" i="1"/>
  <c r="Z1273" i="1"/>
  <c r="AA1273" i="1"/>
  <c r="B1274" i="1"/>
  <c r="E1274" i="1"/>
  <c r="K1274" i="1"/>
  <c r="L1274" i="1"/>
  <c r="M1274" i="1"/>
  <c r="N1274" i="1"/>
  <c r="T1274" i="1"/>
  <c r="U1274" i="1"/>
  <c r="Z1274" i="1"/>
  <c r="AA1274" i="1"/>
  <c r="B1275" i="1"/>
  <c r="E1275" i="1"/>
  <c r="K1275" i="1"/>
  <c r="L1275" i="1"/>
  <c r="M1275" i="1"/>
  <c r="N1275" i="1"/>
  <c r="T1275" i="1"/>
  <c r="U1275" i="1"/>
  <c r="Z1275" i="1"/>
  <c r="AA1275" i="1"/>
  <c r="B1276" i="1"/>
  <c r="E1276" i="1"/>
  <c r="K1276" i="1"/>
  <c r="L1276" i="1"/>
  <c r="M1276" i="1"/>
  <c r="N1276" i="1"/>
  <c r="T1276" i="1"/>
  <c r="U1276" i="1"/>
  <c r="Z1276" i="1"/>
  <c r="AA1276" i="1"/>
  <c r="B1277" i="1"/>
  <c r="E1277" i="1"/>
  <c r="K1277" i="1"/>
  <c r="L1277" i="1"/>
  <c r="M1277" i="1"/>
  <c r="N1277" i="1"/>
  <c r="T1277" i="1"/>
  <c r="U1277" i="1"/>
  <c r="Z1277" i="1"/>
  <c r="AA1277" i="1"/>
  <c r="B1278" i="1"/>
  <c r="E1278" i="1"/>
  <c r="K1278" i="1"/>
  <c r="L1278" i="1"/>
  <c r="M1278" i="1"/>
  <c r="N1278" i="1"/>
  <c r="T1278" i="1"/>
  <c r="U1278" i="1"/>
  <c r="Z1278" i="1"/>
  <c r="AA1278" i="1"/>
  <c r="B1279" i="1"/>
  <c r="E1279" i="1"/>
  <c r="K1279" i="1"/>
  <c r="L1279" i="1"/>
  <c r="M1279" i="1"/>
  <c r="N1279" i="1"/>
  <c r="T1279" i="1"/>
  <c r="U1279" i="1"/>
  <c r="Z1279" i="1"/>
  <c r="AA1279" i="1"/>
  <c r="B1280" i="1"/>
  <c r="E1280" i="1"/>
  <c r="K1280" i="1"/>
  <c r="L1280" i="1"/>
  <c r="M1280" i="1"/>
  <c r="N1280" i="1"/>
  <c r="T1280" i="1"/>
  <c r="U1280" i="1"/>
  <c r="Z1280" i="1"/>
  <c r="AA1280" i="1"/>
  <c r="B1281" i="1"/>
  <c r="E1281" i="1"/>
  <c r="K1281" i="1"/>
  <c r="L1281" i="1"/>
  <c r="M1281" i="1"/>
  <c r="N1281" i="1"/>
  <c r="T1281" i="1"/>
  <c r="U1281" i="1"/>
  <c r="Z1281" i="1"/>
  <c r="AA1281" i="1"/>
  <c r="B1282" i="1"/>
  <c r="E1282" i="1"/>
  <c r="K1282" i="1"/>
  <c r="L1282" i="1"/>
  <c r="M1282" i="1"/>
  <c r="N1282" i="1"/>
  <c r="T1282" i="1"/>
  <c r="U1282" i="1"/>
  <c r="Z1282" i="1"/>
  <c r="AA1282" i="1"/>
  <c r="B1283" i="1"/>
  <c r="E1283" i="1"/>
  <c r="K1283" i="1"/>
  <c r="L1283" i="1"/>
  <c r="M1283" i="1"/>
  <c r="N1283" i="1"/>
  <c r="T1283" i="1"/>
  <c r="U1283" i="1"/>
  <c r="Z1283" i="1"/>
  <c r="AA1283" i="1"/>
  <c r="B1284" i="1"/>
  <c r="E1284" i="1"/>
  <c r="K1284" i="1"/>
  <c r="L1284" i="1"/>
  <c r="M1284" i="1"/>
  <c r="N1284" i="1"/>
  <c r="T1284" i="1"/>
  <c r="U1284" i="1"/>
  <c r="Z1284" i="1"/>
  <c r="AA1284" i="1"/>
  <c r="B1285" i="1"/>
  <c r="E1285" i="1"/>
  <c r="K1285" i="1"/>
  <c r="L1285" i="1"/>
  <c r="M1285" i="1"/>
  <c r="N1285" i="1"/>
  <c r="T1285" i="1"/>
  <c r="U1285" i="1"/>
  <c r="Z1285" i="1"/>
  <c r="AA1285" i="1"/>
  <c r="B1286" i="1"/>
  <c r="E1286" i="1"/>
  <c r="K1286" i="1"/>
  <c r="L1286" i="1"/>
  <c r="M1286" i="1"/>
  <c r="N1286" i="1"/>
  <c r="T1286" i="1"/>
  <c r="U1286" i="1"/>
  <c r="Z1286" i="1"/>
  <c r="AA1286" i="1"/>
  <c r="B1287" i="1"/>
  <c r="E1287" i="1"/>
  <c r="K1287" i="1"/>
  <c r="L1287" i="1"/>
  <c r="M1287" i="1"/>
  <c r="N1287" i="1"/>
  <c r="T1287" i="1"/>
  <c r="U1287" i="1"/>
  <c r="Z1287" i="1"/>
  <c r="AA1287" i="1"/>
  <c r="B1288" i="1"/>
  <c r="E1288" i="1"/>
  <c r="K1288" i="1"/>
  <c r="L1288" i="1"/>
  <c r="M1288" i="1"/>
  <c r="N1288" i="1"/>
  <c r="T1288" i="1"/>
  <c r="U1288" i="1"/>
  <c r="Z1288" i="1"/>
  <c r="AA1288" i="1"/>
  <c r="B1289" i="1"/>
  <c r="E1289" i="1"/>
  <c r="K1289" i="1"/>
  <c r="L1289" i="1"/>
  <c r="M1289" i="1"/>
  <c r="N1289" i="1"/>
  <c r="T1289" i="1"/>
  <c r="U1289" i="1"/>
  <c r="Z1289" i="1"/>
  <c r="AA1289" i="1"/>
  <c r="B1290" i="1"/>
  <c r="E1290" i="1"/>
  <c r="K1290" i="1"/>
  <c r="L1290" i="1"/>
  <c r="M1290" i="1"/>
  <c r="N1290" i="1"/>
  <c r="T1290" i="1"/>
  <c r="U1290" i="1"/>
  <c r="Z1290" i="1"/>
  <c r="AA1290" i="1"/>
  <c r="B1291" i="1"/>
  <c r="E1291" i="1"/>
  <c r="K1291" i="1"/>
  <c r="L1291" i="1"/>
  <c r="M1291" i="1"/>
  <c r="N1291" i="1"/>
  <c r="T1291" i="1"/>
  <c r="U1291" i="1"/>
  <c r="Z1291" i="1"/>
  <c r="AA1291" i="1"/>
  <c r="B1292" i="1"/>
  <c r="E1292" i="1"/>
  <c r="K1292" i="1"/>
  <c r="L1292" i="1"/>
  <c r="M1292" i="1"/>
  <c r="N1292" i="1"/>
  <c r="T1292" i="1"/>
  <c r="U1292" i="1"/>
  <c r="Z1292" i="1"/>
  <c r="AA1292" i="1"/>
  <c r="B1293" i="1"/>
  <c r="E1293" i="1"/>
  <c r="K1293" i="1"/>
  <c r="L1293" i="1"/>
  <c r="M1293" i="1"/>
  <c r="N1293" i="1"/>
  <c r="T1293" i="1"/>
  <c r="U1293" i="1"/>
  <c r="Z1293" i="1"/>
  <c r="AA1293" i="1"/>
  <c r="B1294" i="1"/>
  <c r="E1294" i="1"/>
  <c r="K1294" i="1"/>
  <c r="L1294" i="1"/>
  <c r="M1294" i="1"/>
  <c r="N1294" i="1"/>
  <c r="T1294" i="1"/>
  <c r="U1294" i="1"/>
  <c r="Z1294" i="1"/>
  <c r="AA1294" i="1"/>
  <c r="B1295" i="1"/>
  <c r="E1295" i="1"/>
  <c r="K1295" i="1"/>
  <c r="L1295" i="1"/>
  <c r="M1295" i="1"/>
  <c r="N1295" i="1"/>
  <c r="T1295" i="1"/>
  <c r="U1295" i="1"/>
  <c r="Z1295" i="1"/>
  <c r="AA1295" i="1"/>
  <c r="B1296" i="1"/>
  <c r="E1296" i="1"/>
  <c r="K1296" i="1"/>
  <c r="L1296" i="1"/>
  <c r="M1296" i="1"/>
  <c r="N1296" i="1"/>
  <c r="T1296" i="1"/>
  <c r="U1296" i="1"/>
  <c r="Z1296" i="1"/>
  <c r="AA1296" i="1"/>
  <c r="B1297" i="1"/>
  <c r="E1297" i="1"/>
  <c r="K1297" i="1"/>
  <c r="L1297" i="1"/>
  <c r="M1297" i="1"/>
  <c r="N1297" i="1"/>
  <c r="T1297" i="1"/>
  <c r="U1297" i="1"/>
  <c r="Z1297" i="1"/>
  <c r="AA1297" i="1"/>
  <c r="B1298" i="1"/>
  <c r="E1298" i="1"/>
  <c r="K1298" i="1"/>
  <c r="L1298" i="1"/>
  <c r="M1298" i="1"/>
  <c r="N1298" i="1"/>
  <c r="T1298" i="1"/>
  <c r="U1298" i="1"/>
  <c r="Z1298" i="1"/>
  <c r="AA1298" i="1"/>
  <c r="B1299" i="1"/>
  <c r="E1299" i="1"/>
  <c r="K1299" i="1"/>
  <c r="L1299" i="1"/>
  <c r="M1299" i="1"/>
  <c r="N1299" i="1"/>
  <c r="T1299" i="1"/>
  <c r="U1299" i="1"/>
  <c r="Z1299" i="1"/>
  <c r="AA1299" i="1"/>
  <c r="B1300" i="1"/>
  <c r="E1300" i="1"/>
  <c r="K1300" i="1"/>
  <c r="L1300" i="1"/>
  <c r="M1300" i="1"/>
  <c r="N1300" i="1"/>
  <c r="T1300" i="1"/>
  <c r="U1300" i="1"/>
  <c r="Z1300" i="1"/>
  <c r="AA1300" i="1"/>
  <c r="B1301" i="1"/>
  <c r="E1301" i="1"/>
  <c r="K1301" i="1"/>
  <c r="L1301" i="1"/>
  <c r="M1301" i="1"/>
  <c r="N1301" i="1"/>
  <c r="T1301" i="1"/>
  <c r="U1301" i="1"/>
  <c r="Z1301" i="1"/>
  <c r="AA1301" i="1"/>
  <c r="B1302" i="1"/>
  <c r="E1302" i="1"/>
  <c r="K1302" i="1"/>
  <c r="L1302" i="1"/>
  <c r="M1302" i="1"/>
  <c r="N1302" i="1"/>
  <c r="T1302" i="1"/>
  <c r="U1302" i="1"/>
  <c r="Z1302" i="1"/>
  <c r="AA1302" i="1"/>
  <c r="B1303" i="1"/>
  <c r="E1303" i="1"/>
  <c r="K1303" i="1"/>
  <c r="L1303" i="1"/>
  <c r="M1303" i="1"/>
  <c r="N1303" i="1"/>
  <c r="T1303" i="1"/>
  <c r="U1303" i="1"/>
  <c r="Z1303" i="1"/>
  <c r="AA1303" i="1"/>
  <c r="B1304" i="1"/>
  <c r="E1304" i="1"/>
  <c r="K1304" i="1"/>
  <c r="L1304" i="1"/>
  <c r="M1304" i="1"/>
  <c r="N1304" i="1"/>
  <c r="T1304" i="1"/>
  <c r="U1304" i="1"/>
  <c r="Z1304" i="1"/>
  <c r="AA1304" i="1"/>
  <c r="B1305" i="1"/>
  <c r="E1305" i="1"/>
  <c r="K1305" i="1"/>
  <c r="L1305" i="1"/>
  <c r="M1305" i="1"/>
  <c r="N1305" i="1"/>
  <c r="T1305" i="1"/>
  <c r="U1305" i="1"/>
  <c r="Z1305" i="1"/>
  <c r="AA1305" i="1"/>
  <c r="B1306" i="1"/>
  <c r="E1306" i="1"/>
  <c r="K1306" i="1"/>
  <c r="L1306" i="1"/>
  <c r="M1306" i="1"/>
  <c r="N1306" i="1"/>
  <c r="T1306" i="1"/>
  <c r="U1306" i="1"/>
  <c r="Z1306" i="1"/>
  <c r="AA1306" i="1"/>
  <c r="B1307" i="1"/>
  <c r="E1307" i="1"/>
  <c r="K1307" i="1"/>
  <c r="L1307" i="1"/>
  <c r="M1307" i="1"/>
  <c r="N1307" i="1"/>
  <c r="T1307" i="1"/>
  <c r="U1307" i="1"/>
  <c r="Z1307" i="1"/>
  <c r="AA1307" i="1"/>
  <c r="B1308" i="1"/>
  <c r="E1308" i="1"/>
  <c r="K1308" i="1"/>
  <c r="L1308" i="1"/>
  <c r="M1308" i="1"/>
  <c r="N1308" i="1"/>
  <c r="T1308" i="1"/>
  <c r="U1308" i="1"/>
  <c r="Z1308" i="1"/>
  <c r="AA1308" i="1"/>
  <c r="B1309" i="1"/>
  <c r="E1309" i="1"/>
  <c r="K1309" i="1"/>
  <c r="L1309" i="1"/>
  <c r="M1309" i="1"/>
  <c r="N1309" i="1"/>
  <c r="T1309" i="1"/>
  <c r="U1309" i="1"/>
  <c r="Z1309" i="1"/>
  <c r="AA1309" i="1"/>
  <c r="B1310" i="1"/>
  <c r="E1310" i="1"/>
  <c r="K1310" i="1"/>
  <c r="L1310" i="1"/>
  <c r="M1310" i="1"/>
  <c r="N1310" i="1"/>
  <c r="T1310" i="1"/>
  <c r="U1310" i="1"/>
  <c r="Z1310" i="1"/>
  <c r="AA1310" i="1"/>
  <c r="B1311" i="1"/>
  <c r="E1311" i="1"/>
  <c r="K1311" i="1"/>
  <c r="L1311" i="1"/>
  <c r="M1311" i="1"/>
  <c r="N1311" i="1"/>
  <c r="T1311" i="1"/>
  <c r="U1311" i="1"/>
  <c r="Z1311" i="1"/>
  <c r="AA1311" i="1"/>
  <c r="B1312" i="1"/>
  <c r="E1312" i="1"/>
  <c r="K1312" i="1"/>
  <c r="L1312" i="1"/>
  <c r="M1312" i="1"/>
  <c r="N1312" i="1"/>
  <c r="T1312" i="1"/>
  <c r="U1312" i="1"/>
  <c r="Z1312" i="1"/>
  <c r="AA1312" i="1"/>
  <c r="B1313" i="1"/>
  <c r="E1313" i="1"/>
  <c r="K1313" i="1"/>
  <c r="L1313" i="1"/>
  <c r="M1313" i="1"/>
  <c r="N1313" i="1"/>
  <c r="T1313" i="1"/>
  <c r="U1313" i="1"/>
  <c r="Z1313" i="1"/>
  <c r="AA1313" i="1"/>
  <c r="B1314" i="1"/>
  <c r="E1314" i="1"/>
  <c r="K1314" i="1"/>
  <c r="L1314" i="1"/>
  <c r="M1314" i="1"/>
  <c r="N1314" i="1"/>
  <c r="T1314" i="1"/>
  <c r="U1314" i="1"/>
  <c r="Z1314" i="1"/>
  <c r="AA1314" i="1"/>
  <c r="B1315" i="1"/>
  <c r="E1315" i="1"/>
  <c r="K1315" i="1"/>
  <c r="L1315" i="1"/>
  <c r="M1315" i="1"/>
  <c r="N1315" i="1"/>
  <c r="T1315" i="1"/>
  <c r="U1315" i="1"/>
  <c r="Z1315" i="1"/>
  <c r="AA1315" i="1"/>
  <c r="B1316" i="1"/>
  <c r="E1316" i="1"/>
  <c r="K1316" i="1"/>
  <c r="L1316" i="1"/>
  <c r="M1316" i="1"/>
  <c r="N1316" i="1"/>
  <c r="T1316" i="1"/>
  <c r="U1316" i="1"/>
  <c r="Z1316" i="1"/>
  <c r="AA1316" i="1"/>
  <c r="B1317" i="1"/>
  <c r="E1317" i="1"/>
  <c r="K1317" i="1"/>
  <c r="L1317" i="1"/>
  <c r="M1317" i="1"/>
  <c r="N1317" i="1"/>
  <c r="T1317" i="1"/>
  <c r="U1317" i="1"/>
  <c r="Z1317" i="1"/>
  <c r="AA1317" i="1"/>
  <c r="B1318" i="1"/>
  <c r="E1318" i="1"/>
  <c r="K1318" i="1"/>
  <c r="L1318" i="1"/>
  <c r="M1318" i="1"/>
  <c r="N1318" i="1"/>
  <c r="T1318" i="1"/>
  <c r="U1318" i="1"/>
  <c r="Z1318" i="1"/>
  <c r="AA1318" i="1"/>
  <c r="B1319" i="1"/>
  <c r="E1319" i="1"/>
  <c r="K1319" i="1"/>
  <c r="L1319" i="1"/>
  <c r="M1319" i="1"/>
  <c r="N1319" i="1"/>
  <c r="T1319" i="1"/>
  <c r="U1319" i="1"/>
  <c r="Z1319" i="1"/>
  <c r="AA1319" i="1"/>
  <c r="B1320" i="1"/>
  <c r="E1320" i="1"/>
  <c r="K1320" i="1"/>
  <c r="L1320" i="1"/>
  <c r="M1320" i="1"/>
  <c r="N1320" i="1"/>
  <c r="T1320" i="1"/>
  <c r="U1320" i="1"/>
  <c r="Z1320" i="1"/>
  <c r="AA1320" i="1"/>
  <c r="B1321" i="1"/>
  <c r="E1321" i="1"/>
  <c r="K1321" i="1"/>
  <c r="L1321" i="1"/>
  <c r="M1321" i="1"/>
  <c r="N1321" i="1"/>
  <c r="T1321" i="1"/>
  <c r="U1321" i="1"/>
  <c r="Z1321" i="1"/>
  <c r="AA1321" i="1"/>
  <c r="B1322" i="1"/>
  <c r="E1322" i="1"/>
  <c r="K1322" i="1"/>
  <c r="L1322" i="1"/>
  <c r="M1322" i="1"/>
  <c r="N1322" i="1"/>
  <c r="T1322" i="1"/>
  <c r="U1322" i="1"/>
  <c r="Z1322" i="1"/>
  <c r="AA1322" i="1"/>
  <c r="B1323" i="1"/>
  <c r="E1323" i="1"/>
  <c r="K1323" i="1"/>
  <c r="L1323" i="1"/>
  <c r="M1323" i="1"/>
  <c r="N1323" i="1"/>
  <c r="T1323" i="1"/>
  <c r="U1323" i="1"/>
  <c r="Z1323" i="1"/>
  <c r="AA1323" i="1"/>
  <c r="B1324" i="1"/>
  <c r="E1324" i="1"/>
  <c r="K1324" i="1"/>
  <c r="L1324" i="1"/>
  <c r="M1324" i="1"/>
  <c r="N1324" i="1"/>
  <c r="T1324" i="1"/>
  <c r="U1324" i="1"/>
  <c r="Z1324" i="1"/>
  <c r="AA1324" i="1"/>
  <c r="B1325" i="1"/>
  <c r="E1325" i="1"/>
  <c r="K1325" i="1"/>
  <c r="L1325" i="1"/>
  <c r="M1325" i="1"/>
  <c r="N1325" i="1"/>
  <c r="T1325" i="1"/>
  <c r="U1325" i="1"/>
  <c r="Z1325" i="1"/>
  <c r="AA1325" i="1"/>
  <c r="B1326" i="1"/>
  <c r="E1326" i="1"/>
  <c r="K1326" i="1"/>
  <c r="L1326" i="1"/>
  <c r="M1326" i="1"/>
  <c r="N1326" i="1"/>
  <c r="T1326" i="1"/>
  <c r="U1326" i="1"/>
  <c r="Z1326" i="1"/>
  <c r="AA1326" i="1"/>
  <c r="B1327" i="1"/>
  <c r="E1327" i="1"/>
  <c r="K1327" i="1"/>
  <c r="L1327" i="1"/>
  <c r="M1327" i="1"/>
  <c r="N1327" i="1"/>
  <c r="T1327" i="1"/>
  <c r="U1327" i="1"/>
  <c r="Z1327" i="1"/>
  <c r="AA1327" i="1"/>
  <c r="B1328" i="1"/>
  <c r="E1328" i="1"/>
  <c r="K1328" i="1"/>
  <c r="L1328" i="1"/>
  <c r="M1328" i="1"/>
  <c r="N1328" i="1"/>
  <c r="T1328" i="1"/>
  <c r="U1328" i="1"/>
  <c r="Z1328" i="1"/>
  <c r="AA1328" i="1"/>
  <c r="B1329" i="1"/>
  <c r="E1329" i="1"/>
  <c r="K1329" i="1"/>
  <c r="L1329" i="1"/>
  <c r="M1329" i="1"/>
  <c r="N1329" i="1"/>
  <c r="T1329" i="1"/>
  <c r="U1329" i="1"/>
  <c r="Z1329" i="1"/>
  <c r="AA1329" i="1"/>
  <c r="B1330" i="1"/>
  <c r="E1330" i="1"/>
  <c r="K1330" i="1"/>
  <c r="L1330" i="1"/>
  <c r="M1330" i="1"/>
  <c r="N1330" i="1"/>
  <c r="T1330" i="1"/>
  <c r="U1330" i="1"/>
  <c r="Z1330" i="1"/>
  <c r="AA1330" i="1"/>
  <c r="B1331" i="1"/>
  <c r="E1331" i="1"/>
  <c r="K1331" i="1"/>
  <c r="L1331" i="1"/>
  <c r="M1331" i="1"/>
  <c r="N1331" i="1"/>
  <c r="T1331" i="1"/>
  <c r="U1331" i="1"/>
  <c r="Z1331" i="1"/>
  <c r="AA1331" i="1"/>
  <c r="B1332" i="1"/>
  <c r="E1332" i="1"/>
  <c r="K1332" i="1"/>
  <c r="L1332" i="1"/>
  <c r="M1332" i="1"/>
  <c r="N1332" i="1"/>
  <c r="T1332" i="1"/>
  <c r="U1332" i="1"/>
  <c r="Z1332" i="1"/>
  <c r="AA1332" i="1"/>
  <c r="B1333" i="1"/>
  <c r="E1333" i="1"/>
  <c r="K1333" i="1"/>
  <c r="L1333" i="1"/>
  <c r="M1333" i="1"/>
  <c r="N1333" i="1"/>
  <c r="T1333" i="1"/>
  <c r="U1333" i="1"/>
  <c r="Z1333" i="1"/>
  <c r="AA1333" i="1"/>
  <c r="B1334" i="1"/>
  <c r="E1334" i="1"/>
  <c r="K1334" i="1"/>
  <c r="L1334" i="1"/>
  <c r="M1334" i="1"/>
  <c r="N1334" i="1"/>
  <c r="T1334" i="1"/>
  <c r="U1334" i="1"/>
  <c r="Z1334" i="1"/>
  <c r="AA1334" i="1"/>
  <c r="B1335" i="1"/>
  <c r="E1335" i="1"/>
  <c r="K1335" i="1"/>
  <c r="L1335" i="1"/>
  <c r="M1335" i="1"/>
  <c r="N1335" i="1"/>
  <c r="T1335" i="1"/>
  <c r="U1335" i="1"/>
  <c r="Z1335" i="1"/>
  <c r="AA1335" i="1"/>
  <c r="B1336" i="1"/>
  <c r="E1336" i="1"/>
  <c r="K1336" i="1"/>
  <c r="L1336" i="1"/>
  <c r="M1336" i="1"/>
  <c r="N1336" i="1"/>
  <c r="T1336" i="1"/>
  <c r="U1336" i="1"/>
  <c r="Z1336" i="1"/>
  <c r="AA1336" i="1"/>
  <c r="B1337" i="1"/>
  <c r="E1337" i="1"/>
  <c r="K1337" i="1"/>
  <c r="L1337" i="1"/>
  <c r="M1337" i="1"/>
  <c r="N1337" i="1"/>
  <c r="T1337" i="1"/>
  <c r="U1337" i="1"/>
  <c r="Z1337" i="1"/>
  <c r="AA1337" i="1"/>
  <c r="B1338" i="1"/>
  <c r="E1338" i="1"/>
  <c r="K1338" i="1"/>
  <c r="L1338" i="1"/>
  <c r="M1338" i="1"/>
  <c r="N1338" i="1"/>
  <c r="T1338" i="1"/>
  <c r="U1338" i="1"/>
  <c r="Z1338" i="1"/>
  <c r="AA1338" i="1"/>
  <c r="B1339" i="1"/>
  <c r="E1339" i="1"/>
  <c r="K1339" i="1"/>
  <c r="L1339" i="1"/>
  <c r="M1339" i="1"/>
  <c r="N1339" i="1"/>
  <c r="T1339" i="1"/>
  <c r="U1339" i="1"/>
  <c r="Z1339" i="1"/>
  <c r="AA1339" i="1"/>
  <c r="B1340" i="1"/>
  <c r="E1340" i="1"/>
  <c r="K1340" i="1"/>
  <c r="L1340" i="1"/>
  <c r="M1340" i="1"/>
  <c r="N1340" i="1"/>
  <c r="T1340" i="1"/>
  <c r="U1340" i="1"/>
  <c r="Z1340" i="1"/>
  <c r="AA1340" i="1"/>
  <c r="B1341" i="1"/>
  <c r="E1341" i="1"/>
  <c r="K1341" i="1"/>
  <c r="L1341" i="1"/>
  <c r="M1341" i="1"/>
  <c r="N1341" i="1"/>
  <c r="T1341" i="1"/>
  <c r="U1341" i="1"/>
  <c r="Z1341" i="1"/>
  <c r="AA1341" i="1"/>
  <c r="B1342" i="1"/>
  <c r="E1342" i="1"/>
  <c r="K1342" i="1"/>
  <c r="L1342" i="1"/>
  <c r="M1342" i="1"/>
  <c r="N1342" i="1"/>
  <c r="T1342" i="1"/>
  <c r="U1342" i="1"/>
  <c r="Z1342" i="1"/>
  <c r="AA1342" i="1"/>
  <c r="B1343" i="1"/>
  <c r="E1343" i="1"/>
  <c r="K1343" i="1"/>
  <c r="L1343" i="1"/>
  <c r="M1343" i="1"/>
  <c r="N1343" i="1"/>
  <c r="T1343" i="1"/>
  <c r="U1343" i="1"/>
  <c r="Z1343" i="1"/>
  <c r="AA1343" i="1"/>
  <c r="B1344" i="1"/>
  <c r="E1344" i="1"/>
  <c r="K1344" i="1"/>
  <c r="L1344" i="1"/>
  <c r="M1344" i="1"/>
  <c r="N1344" i="1"/>
  <c r="T1344" i="1"/>
  <c r="U1344" i="1"/>
  <c r="Z1344" i="1"/>
  <c r="AA1344" i="1"/>
  <c r="B1345" i="1"/>
  <c r="E1345" i="1"/>
  <c r="K1345" i="1"/>
  <c r="L1345" i="1"/>
  <c r="M1345" i="1"/>
  <c r="N1345" i="1"/>
  <c r="T1345" i="1"/>
  <c r="U1345" i="1"/>
  <c r="Z1345" i="1"/>
  <c r="AA1345" i="1"/>
  <c r="B1346" i="1"/>
  <c r="E1346" i="1"/>
  <c r="K1346" i="1"/>
  <c r="L1346" i="1"/>
  <c r="M1346" i="1"/>
  <c r="N1346" i="1"/>
  <c r="T1346" i="1"/>
  <c r="U1346" i="1"/>
  <c r="Z1346" i="1"/>
  <c r="AA1346" i="1"/>
  <c r="B1347" i="1"/>
  <c r="E1347" i="1"/>
  <c r="K1347" i="1"/>
  <c r="L1347" i="1"/>
  <c r="M1347" i="1"/>
  <c r="N1347" i="1"/>
  <c r="T1347" i="1"/>
  <c r="U1347" i="1"/>
  <c r="Z1347" i="1"/>
  <c r="AA1347" i="1"/>
  <c r="B1348" i="1"/>
  <c r="E1348" i="1"/>
  <c r="K1348" i="1"/>
  <c r="L1348" i="1"/>
  <c r="M1348" i="1"/>
  <c r="N1348" i="1"/>
  <c r="T1348" i="1"/>
  <c r="U1348" i="1"/>
  <c r="Z1348" i="1"/>
  <c r="AA1348" i="1"/>
  <c r="B1349" i="1"/>
  <c r="E1349" i="1"/>
  <c r="K1349" i="1"/>
  <c r="L1349" i="1"/>
  <c r="M1349" i="1"/>
  <c r="N1349" i="1"/>
  <c r="T1349" i="1"/>
  <c r="U1349" i="1"/>
  <c r="Z1349" i="1"/>
  <c r="AA1349" i="1"/>
  <c r="B1350" i="1"/>
  <c r="E1350" i="1"/>
  <c r="K1350" i="1"/>
  <c r="L1350" i="1"/>
  <c r="M1350" i="1"/>
  <c r="N1350" i="1"/>
  <c r="T1350" i="1"/>
  <c r="U1350" i="1"/>
  <c r="Z1350" i="1"/>
  <c r="AA1350" i="1"/>
  <c r="B1351" i="1"/>
  <c r="E1351" i="1"/>
  <c r="K1351" i="1"/>
  <c r="L1351" i="1"/>
  <c r="M1351" i="1"/>
  <c r="N1351" i="1"/>
  <c r="T1351" i="1"/>
  <c r="U1351" i="1"/>
  <c r="Z1351" i="1"/>
  <c r="AA1351" i="1"/>
  <c r="B1352" i="1"/>
  <c r="E1352" i="1"/>
  <c r="K1352" i="1"/>
  <c r="L1352" i="1"/>
  <c r="M1352" i="1"/>
  <c r="N1352" i="1"/>
  <c r="T1352" i="1"/>
  <c r="U1352" i="1"/>
  <c r="Z1352" i="1"/>
  <c r="AA1352" i="1"/>
  <c r="B1353" i="1"/>
  <c r="E1353" i="1"/>
  <c r="K1353" i="1"/>
  <c r="L1353" i="1"/>
  <c r="M1353" i="1"/>
  <c r="N1353" i="1"/>
  <c r="T1353" i="1"/>
  <c r="U1353" i="1"/>
  <c r="Z1353" i="1"/>
  <c r="AA1353" i="1"/>
  <c r="B1354" i="1"/>
  <c r="E1354" i="1"/>
  <c r="K1354" i="1"/>
  <c r="L1354" i="1"/>
  <c r="M1354" i="1"/>
  <c r="N1354" i="1"/>
  <c r="T1354" i="1"/>
  <c r="U1354" i="1"/>
  <c r="Z1354" i="1"/>
  <c r="AA1354" i="1"/>
  <c r="B1355" i="1"/>
  <c r="E1355" i="1"/>
  <c r="K1355" i="1"/>
  <c r="L1355" i="1"/>
  <c r="M1355" i="1"/>
  <c r="N1355" i="1"/>
  <c r="T1355" i="1"/>
  <c r="U1355" i="1"/>
  <c r="Z1355" i="1"/>
  <c r="AA1355" i="1"/>
  <c r="B1356" i="1"/>
  <c r="E1356" i="1"/>
  <c r="K1356" i="1"/>
  <c r="L1356" i="1"/>
  <c r="M1356" i="1"/>
  <c r="N1356" i="1"/>
  <c r="T1356" i="1"/>
  <c r="U1356" i="1"/>
  <c r="Z1356" i="1"/>
  <c r="AA1356" i="1"/>
  <c r="B1357" i="1"/>
  <c r="E1357" i="1"/>
  <c r="K1357" i="1"/>
  <c r="L1357" i="1"/>
  <c r="M1357" i="1"/>
  <c r="N1357" i="1"/>
  <c r="T1357" i="1"/>
  <c r="U1357" i="1"/>
  <c r="Z1357" i="1"/>
  <c r="AA1357" i="1"/>
  <c r="B1358" i="1"/>
  <c r="E1358" i="1"/>
  <c r="K1358" i="1"/>
  <c r="L1358" i="1"/>
  <c r="M1358" i="1"/>
  <c r="N1358" i="1"/>
  <c r="T1358" i="1"/>
  <c r="U1358" i="1"/>
  <c r="Z1358" i="1"/>
  <c r="AA1358" i="1"/>
  <c r="B1359" i="1"/>
  <c r="E1359" i="1"/>
  <c r="K1359" i="1"/>
  <c r="L1359" i="1"/>
  <c r="M1359" i="1"/>
  <c r="N1359" i="1"/>
  <c r="T1359" i="1"/>
  <c r="U1359" i="1"/>
  <c r="Z1359" i="1"/>
  <c r="AA1359" i="1"/>
  <c r="B1360" i="1"/>
  <c r="E1360" i="1"/>
  <c r="K1360" i="1"/>
  <c r="L1360" i="1"/>
  <c r="M1360" i="1"/>
  <c r="N1360" i="1"/>
  <c r="T1360" i="1"/>
  <c r="U1360" i="1"/>
  <c r="Z1360" i="1"/>
  <c r="AA1360" i="1"/>
  <c r="B1361" i="1"/>
  <c r="E1361" i="1"/>
  <c r="K1361" i="1"/>
  <c r="L1361" i="1"/>
  <c r="M1361" i="1"/>
  <c r="N1361" i="1"/>
  <c r="T1361" i="1"/>
  <c r="U1361" i="1"/>
  <c r="Z1361" i="1"/>
  <c r="AA1361" i="1"/>
  <c r="B1362" i="1"/>
  <c r="E1362" i="1"/>
  <c r="K1362" i="1"/>
  <c r="L1362" i="1"/>
  <c r="M1362" i="1"/>
  <c r="N1362" i="1"/>
  <c r="T1362" i="1"/>
  <c r="U1362" i="1"/>
  <c r="Z1362" i="1"/>
  <c r="AA1362" i="1"/>
  <c r="B1363" i="1"/>
  <c r="E1363" i="1"/>
  <c r="K1363" i="1"/>
  <c r="L1363" i="1"/>
  <c r="M1363" i="1"/>
  <c r="N1363" i="1"/>
  <c r="T1363" i="1"/>
  <c r="U1363" i="1"/>
  <c r="Z1363" i="1"/>
  <c r="AA1363" i="1"/>
  <c r="B1364" i="1"/>
  <c r="E1364" i="1"/>
  <c r="K1364" i="1"/>
  <c r="L1364" i="1"/>
  <c r="M1364" i="1"/>
  <c r="N1364" i="1"/>
  <c r="T1364" i="1"/>
  <c r="U1364" i="1"/>
  <c r="Z1364" i="1"/>
  <c r="AA1364" i="1"/>
  <c r="B1365" i="1"/>
  <c r="E1365" i="1"/>
  <c r="K1365" i="1"/>
  <c r="L1365" i="1"/>
  <c r="M1365" i="1"/>
  <c r="N1365" i="1"/>
  <c r="T1365" i="1"/>
  <c r="U1365" i="1"/>
  <c r="Z1365" i="1"/>
  <c r="AA1365" i="1"/>
  <c r="B1366" i="1"/>
  <c r="E1366" i="1"/>
  <c r="K1366" i="1"/>
  <c r="L1366" i="1"/>
  <c r="M1366" i="1"/>
  <c r="N1366" i="1"/>
  <c r="T1366" i="1"/>
  <c r="U1366" i="1"/>
  <c r="Z1366" i="1"/>
  <c r="AA1366" i="1"/>
  <c r="B1367" i="1"/>
  <c r="E1367" i="1"/>
  <c r="K1367" i="1"/>
  <c r="L1367" i="1"/>
  <c r="M1367" i="1"/>
  <c r="N1367" i="1"/>
  <c r="T1367" i="1"/>
  <c r="U1367" i="1"/>
  <c r="Z1367" i="1"/>
  <c r="AA1367" i="1"/>
  <c r="B1368" i="1"/>
  <c r="E1368" i="1"/>
  <c r="K1368" i="1"/>
  <c r="L1368" i="1"/>
  <c r="M1368" i="1"/>
  <c r="N1368" i="1"/>
  <c r="T1368" i="1"/>
  <c r="U1368" i="1"/>
  <c r="Z1368" i="1"/>
  <c r="AA1368" i="1"/>
  <c r="B1369" i="1"/>
  <c r="E1369" i="1"/>
  <c r="K1369" i="1"/>
  <c r="L1369" i="1"/>
  <c r="M1369" i="1"/>
  <c r="N1369" i="1"/>
  <c r="T1369" i="1"/>
  <c r="U1369" i="1"/>
  <c r="Z1369" i="1"/>
  <c r="AA1369" i="1"/>
  <c r="B1370" i="1"/>
  <c r="E1370" i="1"/>
  <c r="K1370" i="1"/>
  <c r="L1370" i="1"/>
  <c r="M1370" i="1"/>
  <c r="N1370" i="1"/>
  <c r="T1370" i="1"/>
  <c r="U1370" i="1"/>
  <c r="Z1370" i="1"/>
  <c r="AA1370" i="1"/>
  <c r="B1371" i="1"/>
  <c r="E1371" i="1"/>
  <c r="K1371" i="1"/>
  <c r="L1371" i="1"/>
  <c r="M1371" i="1"/>
  <c r="N1371" i="1"/>
  <c r="T1371" i="1"/>
  <c r="U1371" i="1"/>
  <c r="Z1371" i="1"/>
  <c r="AA1371" i="1"/>
  <c r="B1372" i="1"/>
  <c r="E1372" i="1"/>
  <c r="K1372" i="1"/>
  <c r="L1372" i="1"/>
  <c r="M1372" i="1"/>
  <c r="N1372" i="1"/>
  <c r="T1372" i="1"/>
  <c r="U1372" i="1"/>
  <c r="Z1372" i="1"/>
  <c r="AA1372" i="1"/>
  <c r="B1373" i="1"/>
  <c r="E1373" i="1"/>
  <c r="K1373" i="1"/>
  <c r="L1373" i="1"/>
  <c r="M1373" i="1"/>
  <c r="N1373" i="1"/>
  <c r="T1373" i="1"/>
  <c r="U1373" i="1"/>
  <c r="Z1373" i="1"/>
  <c r="AA1373" i="1"/>
  <c r="B1374" i="1"/>
  <c r="E1374" i="1"/>
  <c r="K1374" i="1"/>
  <c r="L1374" i="1"/>
  <c r="M1374" i="1"/>
  <c r="N1374" i="1"/>
  <c r="T1374" i="1"/>
  <c r="U1374" i="1"/>
  <c r="Z1374" i="1"/>
  <c r="AA1374" i="1"/>
  <c r="B1375" i="1"/>
  <c r="E1375" i="1"/>
  <c r="K1375" i="1"/>
  <c r="L1375" i="1"/>
  <c r="M1375" i="1"/>
  <c r="N1375" i="1"/>
  <c r="T1375" i="1"/>
  <c r="U1375" i="1"/>
  <c r="Z1375" i="1"/>
  <c r="AA1375" i="1"/>
  <c r="B1376" i="1"/>
  <c r="E1376" i="1"/>
  <c r="K1376" i="1"/>
  <c r="L1376" i="1"/>
  <c r="M1376" i="1"/>
  <c r="N1376" i="1"/>
  <c r="T1376" i="1"/>
  <c r="U1376" i="1"/>
  <c r="Z1376" i="1"/>
  <c r="AA1376" i="1"/>
  <c r="B1377" i="1"/>
  <c r="E1377" i="1"/>
  <c r="K1377" i="1"/>
  <c r="L1377" i="1"/>
  <c r="M1377" i="1"/>
  <c r="N1377" i="1"/>
  <c r="T1377" i="1"/>
  <c r="U1377" i="1"/>
  <c r="Z1377" i="1"/>
  <c r="AA1377" i="1"/>
  <c r="B1378" i="1"/>
  <c r="E1378" i="1"/>
  <c r="K1378" i="1"/>
  <c r="L1378" i="1"/>
  <c r="M1378" i="1"/>
  <c r="N1378" i="1"/>
  <c r="T1378" i="1"/>
  <c r="U1378" i="1"/>
  <c r="Z1378" i="1"/>
  <c r="AA1378" i="1"/>
  <c r="B1379" i="1"/>
  <c r="E1379" i="1"/>
  <c r="K1379" i="1"/>
  <c r="L1379" i="1"/>
  <c r="M1379" i="1"/>
  <c r="N1379" i="1"/>
  <c r="T1379" i="1"/>
  <c r="U1379" i="1"/>
  <c r="Z1379" i="1"/>
  <c r="AA1379" i="1"/>
  <c r="B1380" i="1"/>
  <c r="E1380" i="1"/>
  <c r="K1380" i="1"/>
  <c r="L1380" i="1"/>
  <c r="M1380" i="1"/>
  <c r="N1380" i="1"/>
  <c r="T1380" i="1"/>
  <c r="U1380" i="1"/>
  <c r="Z1380" i="1"/>
  <c r="AA1380" i="1"/>
  <c r="B1381" i="1"/>
  <c r="E1381" i="1"/>
  <c r="K1381" i="1"/>
  <c r="L1381" i="1"/>
  <c r="M1381" i="1"/>
  <c r="N1381" i="1"/>
  <c r="T1381" i="1"/>
  <c r="U1381" i="1"/>
  <c r="Z1381" i="1"/>
  <c r="AA1381" i="1"/>
  <c r="B1382" i="1"/>
  <c r="E1382" i="1"/>
  <c r="K1382" i="1"/>
  <c r="L1382" i="1"/>
  <c r="M1382" i="1"/>
  <c r="N1382" i="1"/>
  <c r="T1382" i="1"/>
  <c r="U1382" i="1"/>
  <c r="Z1382" i="1"/>
  <c r="AA1382" i="1"/>
  <c r="B1383" i="1"/>
  <c r="E1383" i="1"/>
  <c r="K1383" i="1"/>
  <c r="L1383" i="1"/>
  <c r="M1383" i="1"/>
  <c r="N1383" i="1"/>
  <c r="T1383" i="1"/>
  <c r="U1383" i="1"/>
  <c r="Z1383" i="1"/>
  <c r="AA1383" i="1"/>
  <c r="B1384" i="1"/>
  <c r="E1384" i="1"/>
  <c r="K1384" i="1"/>
  <c r="L1384" i="1"/>
  <c r="M1384" i="1"/>
  <c r="N1384" i="1"/>
  <c r="T1384" i="1"/>
  <c r="U1384" i="1"/>
  <c r="Z1384" i="1"/>
  <c r="AA1384" i="1"/>
  <c r="B1385" i="1"/>
  <c r="E1385" i="1"/>
  <c r="K1385" i="1"/>
  <c r="L1385" i="1"/>
  <c r="M1385" i="1"/>
  <c r="N1385" i="1"/>
  <c r="T1385" i="1"/>
  <c r="U1385" i="1"/>
  <c r="Z1385" i="1"/>
  <c r="AA1385" i="1"/>
  <c r="B1386" i="1"/>
  <c r="E1386" i="1"/>
  <c r="K1386" i="1"/>
  <c r="L1386" i="1"/>
  <c r="M1386" i="1"/>
  <c r="N1386" i="1"/>
  <c r="T1386" i="1"/>
  <c r="U1386" i="1"/>
  <c r="Z1386" i="1"/>
  <c r="AA1386" i="1"/>
  <c r="B1387" i="1"/>
  <c r="E1387" i="1"/>
  <c r="K1387" i="1"/>
  <c r="L1387" i="1"/>
  <c r="M1387" i="1"/>
  <c r="N1387" i="1"/>
  <c r="T1387" i="1"/>
  <c r="U1387" i="1"/>
  <c r="Z1387" i="1"/>
  <c r="AA1387" i="1"/>
  <c r="B1388" i="1"/>
  <c r="E1388" i="1"/>
  <c r="K1388" i="1"/>
  <c r="L1388" i="1"/>
  <c r="M1388" i="1"/>
  <c r="N1388" i="1"/>
  <c r="T1388" i="1"/>
  <c r="U1388" i="1"/>
  <c r="Z1388" i="1"/>
  <c r="AA1388" i="1"/>
  <c r="B1389" i="1"/>
  <c r="E1389" i="1"/>
  <c r="K1389" i="1"/>
  <c r="L1389" i="1"/>
  <c r="M1389" i="1"/>
  <c r="N1389" i="1"/>
  <c r="T1389" i="1"/>
  <c r="U1389" i="1"/>
  <c r="Z1389" i="1"/>
  <c r="AA1389" i="1"/>
  <c r="B1390" i="1"/>
  <c r="E1390" i="1"/>
  <c r="K1390" i="1"/>
  <c r="L1390" i="1"/>
  <c r="M1390" i="1"/>
  <c r="N1390" i="1"/>
  <c r="T1390" i="1"/>
  <c r="U1390" i="1"/>
  <c r="Z1390" i="1"/>
  <c r="AA1390" i="1"/>
  <c r="B1391" i="1"/>
  <c r="E1391" i="1"/>
  <c r="K1391" i="1"/>
  <c r="L1391" i="1"/>
  <c r="M1391" i="1"/>
  <c r="N1391" i="1"/>
  <c r="T1391" i="1"/>
  <c r="U1391" i="1"/>
  <c r="Z1391" i="1"/>
  <c r="AA1391" i="1"/>
  <c r="B1392" i="1"/>
  <c r="E1392" i="1"/>
  <c r="K1392" i="1"/>
  <c r="L1392" i="1"/>
  <c r="M1392" i="1"/>
  <c r="N1392" i="1"/>
  <c r="T1392" i="1"/>
  <c r="U1392" i="1"/>
  <c r="Z1392" i="1"/>
  <c r="AA1392" i="1"/>
  <c r="B1393" i="1"/>
  <c r="E1393" i="1"/>
  <c r="K1393" i="1"/>
  <c r="L1393" i="1"/>
  <c r="M1393" i="1"/>
  <c r="N1393" i="1"/>
  <c r="T1393" i="1"/>
  <c r="U1393" i="1"/>
  <c r="Z1393" i="1"/>
  <c r="AA1393" i="1"/>
  <c r="B1394" i="1"/>
  <c r="E1394" i="1"/>
  <c r="K1394" i="1"/>
  <c r="L1394" i="1"/>
  <c r="M1394" i="1"/>
  <c r="N1394" i="1"/>
  <c r="T1394" i="1"/>
  <c r="U1394" i="1"/>
  <c r="Z1394" i="1"/>
  <c r="AA1394" i="1"/>
  <c r="B1395" i="1"/>
  <c r="E1395" i="1"/>
  <c r="K1395" i="1"/>
  <c r="L1395" i="1"/>
  <c r="M1395" i="1"/>
  <c r="N1395" i="1"/>
  <c r="T1395" i="1"/>
  <c r="U1395" i="1"/>
  <c r="Z1395" i="1"/>
  <c r="AA1395" i="1"/>
  <c r="B1396" i="1"/>
  <c r="E1396" i="1"/>
  <c r="K1396" i="1"/>
  <c r="L1396" i="1"/>
  <c r="M1396" i="1"/>
  <c r="N1396" i="1"/>
  <c r="T1396" i="1"/>
  <c r="U1396" i="1"/>
  <c r="Z1396" i="1"/>
  <c r="AA1396" i="1"/>
  <c r="B1397" i="1"/>
  <c r="E1397" i="1"/>
  <c r="K1397" i="1"/>
  <c r="L1397" i="1"/>
  <c r="M1397" i="1"/>
  <c r="N1397" i="1"/>
  <c r="T1397" i="1"/>
  <c r="U1397" i="1"/>
  <c r="Z1397" i="1"/>
  <c r="AA1397" i="1"/>
  <c r="B1398" i="1"/>
  <c r="E1398" i="1"/>
  <c r="K1398" i="1"/>
  <c r="L1398" i="1"/>
  <c r="M1398" i="1"/>
  <c r="N1398" i="1"/>
  <c r="T1398" i="1"/>
  <c r="U1398" i="1"/>
  <c r="Z1398" i="1"/>
  <c r="AA1398" i="1"/>
  <c r="B1399" i="1"/>
  <c r="E1399" i="1"/>
  <c r="K1399" i="1"/>
  <c r="L1399" i="1"/>
  <c r="M1399" i="1"/>
  <c r="N1399" i="1"/>
  <c r="T1399" i="1"/>
  <c r="U1399" i="1"/>
  <c r="Z1399" i="1"/>
  <c r="AA1399" i="1"/>
  <c r="B1400" i="1"/>
  <c r="E1400" i="1"/>
  <c r="K1400" i="1"/>
  <c r="L1400" i="1"/>
  <c r="M1400" i="1"/>
  <c r="N1400" i="1"/>
  <c r="T1400" i="1"/>
  <c r="U1400" i="1"/>
  <c r="Z1400" i="1"/>
  <c r="AA1400" i="1"/>
  <c r="B1401" i="1"/>
  <c r="E1401" i="1"/>
  <c r="K1401" i="1"/>
  <c r="L1401" i="1"/>
  <c r="M1401" i="1"/>
  <c r="N1401" i="1"/>
  <c r="T1401" i="1"/>
  <c r="U1401" i="1"/>
  <c r="Z1401" i="1"/>
  <c r="AA1401" i="1"/>
  <c r="B1402" i="1"/>
  <c r="E1402" i="1"/>
  <c r="K1402" i="1"/>
  <c r="L1402" i="1"/>
  <c r="M1402" i="1"/>
  <c r="N1402" i="1"/>
  <c r="T1402" i="1"/>
  <c r="U1402" i="1"/>
  <c r="Z1402" i="1"/>
  <c r="AA1402" i="1"/>
  <c r="B1403" i="1"/>
  <c r="E1403" i="1"/>
  <c r="K1403" i="1"/>
  <c r="L1403" i="1"/>
  <c r="M1403" i="1"/>
  <c r="N1403" i="1"/>
  <c r="T1403" i="1"/>
  <c r="U1403" i="1"/>
  <c r="Z1403" i="1"/>
  <c r="AA1403" i="1"/>
  <c r="B1404" i="1"/>
  <c r="E1404" i="1"/>
  <c r="K1404" i="1"/>
  <c r="L1404" i="1"/>
  <c r="M1404" i="1"/>
  <c r="N1404" i="1"/>
  <c r="T1404" i="1"/>
  <c r="U1404" i="1"/>
  <c r="Z1404" i="1"/>
  <c r="AA1404" i="1"/>
  <c r="B1405" i="1"/>
  <c r="E1405" i="1"/>
  <c r="K1405" i="1"/>
  <c r="L1405" i="1"/>
  <c r="M1405" i="1"/>
  <c r="N1405" i="1"/>
  <c r="T1405" i="1"/>
  <c r="U1405" i="1"/>
  <c r="Z1405" i="1"/>
  <c r="AA1405" i="1"/>
  <c r="B1406" i="1"/>
  <c r="E1406" i="1"/>
  <c r="K1406" i="1"/>
  <c r="L1406" i="1"/>
  <c r="M1406" i="1"/>
  <c r="N1406" i="1"/>
  <c r="T1406" i="1"/>
  <c r="U1406" i="1"/>
  <c r="Z1406" i="1"/>
  <c r="AA1406" i="1"/>
  <c r="B1407" i="1"/>
  <c r="E1407" i="1"/>
  <c r="K1407" i="1"/>
  <c r="L1407" i="1"/>
  <c r="M1407" i="1"/>
  <c r="N1407" i="1"/>
  <c r="T1407" i="1"/>
  <c r="U1407" i="1"/>
  <c r="Z1407" i="1"/>
  <c r="AA1407" i="1"/>
  <c r="B1408" i="1"/>
  <c r="E1408" i="1"/>
  <c r="K1408" i="1"/>
  <c r="L1408" i="1"/>
  <c r="M1408" i="1"/>
  <c r="N1408" i="1"/>
  <c r="T1408" i="1"/>
  <c r="U1408" i="1"/>
  <c r="Z1408" i="1"/>
  <c r="AA1408" i="1"/>
  <c r="B1409" i="1"/>
  <c r="E1409" i="1"/>
  <c r="K1409" i="1"/>
  <c r="L1409" i="1"/>
  <c r="M1409" i="1"/>
  <c r="N1409" i="1"/>
  <c r="T1409" i="1"/>
  <c r="U1409" i="1"/>
  <c r="Z1409" i="1"/>
  <c r="AA1409" i="1"/>
  <c r="B1410" i="1"/>
  <c r="E1410" i="1"/>
  <c r="K1410" i="1"/>
  <c r="L1410" i="1"/>
  <c r="M1410" i="1"/>
  <c r="N1410" i="1"/>
  <c r="T1410" i="1"/>
  <c r="U1410" i="1"/>
  <c r="Z1410" i="1"/>
  <c r="AA1410" i="1"/>
  <c r="B1411" i="1"/>
  <c r="E1411" i="1"/>
  <c r="K1411" i="1"/>
  <c r="L1411" i="1"/>
  <c r="M1411" i="1"/>
  <c r="N1411" i="1"/>
  <c r="T1411" i="1"/>
  <c r="U1411" i="1"/>
  <c r="Z1411" i="1"/>
  <c r="AA1411" i="1"/>
  <c r="B1412" i="1"/>
  <c r="E1412" i="1"/>
  <c r="K1412" i="1"/>
  <c r="L1412" i="1"/>
  <c r="M1412" i="1"/>
  <c r="N1412" i="1"/>
  <c r="T1412" i="1"/>
  <c r="U1412" i="1"/>
  <c r="Z1412" i="1"/>
  <c r="AA1412" i="1"/>
  <c r="B1413" i="1"/>
  <c r="E1413" i="1"/>
  <c r="K1413" i="1"/>
  <c r="L1413" i="1"/>
  <c r="M1413" i="1"/>
  <c r="N1413" i="1"/>
  <c r="T1413" i="1"/>
  <c r="U1413" i="1"/>
  <c r="Z1413" i="1"/>
  <c r="AA1413" i="1"/>
  <c r="B1414" i="1"/>
  <c r="E1414" i="1"/>
  <c r="K1414" i="1"/>
  <c r="L1414" i="1"/>
  <c r="M1414" i="1"/>
  <c r="N1414" i="1"/>
  <c r="T1414" i="1"/>
  <c r="U1414" i="1"/>
  <c r="Z1414" i="1"/>
  <c r="AA1414" i="1"/>
  <c r="B1415" i="1"/>
  <c r="E1415" i="1"/>
  <c r="K1415" i="1"/>
  <c r="L1415" i="1"/>
  <c r="M1415" i="1"/>
  <c r="N1415" i="1"/>
  <c r="T1415" i="1"/>
  <c r="U1415" i="1"/>
  <c r="Z1415" i="1"/>
  <c r="AA1415" i="1"/>
  <c r="B1416" i="1"/>
  <c r="E1416" i="1"/>
  <c r="K1416" i="1"/>
  <c r="L1416" i="1"/>
  <c r="M1416" i="1"/>
  <c r="N1416" i="1"/>
  <c r="T1416" i="1"/>
  <c r="U1416" i="1"/>
  <c r="Z1416" i="1"/>
  <c r="AA1416" i="1"/>
  <c r="B1417" i="1"/>
  <c r="E1417" i="1"/>
  <c r="K1417" i="1"/>
  <c r="L1417" i="1"/>
  <c r="M1417" i="1"/>
  <c r="N1417" i="1"/>
  <c r="T1417" i="1"/>
  <c r="U1417" i="1"/>
  <c r="Z1417" i="1"/>
  <c r="AA1417" i="1"/>
  <c r="B1418" i="1"/>
  <c r="E1418" i="1"/>
  <c r="K1418" i="1"/>
  <c r="L1418" i="1"/>
  <c r="M1418" i="1"/>
  <c r="N1418" i="1"/>
  <c r="T1418" i="1"/>
  <c r="U1418" i="1"/>
  <c r="Z1418" i="1"/>
  <c r="AA1418" i="1"/>
  <c r="B1419" i="1"/>
  <c r="E1419" i="1"/>
  <c r="K1419" i="1"/>
  <c r="L1419" i="1"/>
  <c r="M1419" i="1"/>
  <c r="N1419" i="1"/>
  <c r="T1419" i="1"/>
  <c r="U1419" i="1"/>
  <c r="Z1419" i="1"/>
  <c r="AA1419" i="1"/>
  <c r="B1420" i="1"/>
  <c r="E1420" i="1"/>
  <c r="K1420" i="1"/>
  <c r="L1420" i="1"/>
  <c r="M1420" i="1"/>
  <c r="N1420" i="1"/>
  <c r="T1420" i="1"/>
  <c r="U1420" i="1"/>
  <c r="Z1420" i="1"/>
  <c r="AA1420" i="1"/>
  <c r="B1421" i="1"/>
  <c r="E1421" i="1"/>
  <c r="K1421" i="1"/>
  <c r="L1421" i="1"/>
  <c r="M1421" i="1"/>
  <c r="N1421" i="1"/>
  <c r="T1421" i="1"/>
  <c r="U1421" i="1"/>
  <c r="Z1421" i="1"/>
  <c r="AA1421" i="1"/>
  <c r="B1422" i="1"/>
  <c r="E1422" i="1"/>
  <c r="K1422" i="1"/>
  <c r="L1422" i="1"/>
  <c r="M1422" i="1"/>
  <c r="N1422" i="1"/>
  <c r="T1422" i="1"/>
  <c r="U1422" i="1"/>
  <c r="Z1422" i="1"/>
  <c r="AA1422" i="1"/>
  <c r="B1423" i="1"/>
  <c r="E1423" i="1"/>
  <c r="K1423" i="1"/>
  <c r="L1423" i="1"/>
  <c r="M1423" i="1"/>
  <c r="N1423" i="1"/>
  <c r="T1423" i="1"/>
  <c r="U1423" i="1"/>
  <c r="Z1423" i="1"/>
  <c r="AA1423" i="1"/>
  <c r="B1424" i="1"/>
  <c r="E1424" i="1"/>
  <c r="K1424" i="1"/>
  <c r="L1424" i="1"/>
  <c r="M1424" i="1"/>
  <c r="N1424" i="1"/>
  <c r="T1424" i="1"/>
  <c r="U1424" i="1"/>
  <c r="Z1424" i="1"/>
  <c r="AA1424" i="1"/>
  <c r="B1425" i="1"/>
  <c r="E1425" i="1"/>
  <c r="K1425" i="1"/>
  <c r="L1425" i="1"/>
  <c r="M1425" i="1"/>
  <c r="N1425" i="1"/>
  <c r="T1425" i="1"/>
  <c r="U1425" i="1"/>
  <c r="Z1425" i="1"/>
  <c r="AA1425" i="1"/>
  <c r="B1426" i="1"/>
  <c r="E1426" i="1"/>
  <c r="K1426" i="1"/>
  <c r="L1426" i="1"/>
  <c r="M1426" i="1"/>
  <c r="N1426" i="1"/>
  <c r="T1426" i="1"/>
  <c r="U1426" i="1"/>
  <c r="Z1426" i="1"/>
  <c r="AA1426" i="1"/>
  <c r="B1427" i="1"/>
  <c r="E1427" i="1"/>
  <c r="K1427" i="1"/>
  <c r="L1427" i="1"/>
  <c r="M1427" i="1"/>
  <c r="N1427" i="1"/>
  <c r="T1427" i="1"/>
  <c r="U1427" i="1"/>
  <c r="Z1427" i="1"/>
  <c r="AA1427" i="1"/>
  <c r="B1428" i="1"/>
  <c r="E1428" i="1"/>
  <c r="K1428" i="1"/>
  <c r="L1428" i="1"/>
  <c r="M1428" i="1"/>
  <c r="N1428" i="1"/>
  <c r="T1428" i="1"/>
  <c r="U1428" i="1"/>
  <c r="Z1428" i="1"/>
  <c r="AA1428" i="1"/>
  <c r="B1429" i="1"/>
  <c r="E1429" i="1"/>
  <c r="K1429" i="1"/>
  <c r="L1429" i="1"/>
  <c r="M1429" i="1"/>
  <c r="N1429" i="1"/>
  <c r="T1429" i="1"/>
  <c r="U1429" i="1"/>
  <c r="Z1429" i="1"/>
  <c r="AA1429" i="1"/>
  <c r="B1430" i="1"/>
  <c r="E1430" i="1"/>
  <c r="K1430" i="1"/>
  <c r="L1430" i="1"/>
  <c r="M1430" i="1"/>
  <c r="N1430" i="1"/>
  <c r="T1430" i="1"/>
  <c r="U1430" i="1"/>
  <c r="Z1430" i="1"/>
  <c r="AA1430" i="1"/>
  <c r="B1431" i="1"/>
  <c r="E1431" i="1"/>
  <c r="K1431" i="1"/>
  <c r="L1431" i="1"/>
  <c r="M1431" i="1"/>
  <c r="N1431" i="1"/>
  <c r="T1431" i="1"/>
  <c r="U1431" i="1"/>
  <c r="Z1431" i="1"/>
  <c r="AA1431" i="1"/>
  <c r="B1432" i="1"/>
  <c r="E1432" i="1"/>
  <c r="K1432" i="1"/>
  <c r="L1432" i="1"/>
  <c r="M1432" i="1"/>
  <c r="N1432" i="1"/>
  <c r="T1432" i="1"/>
  <c r="U1432" i="1"/>
  <c r="Z1432" i="1"/>
  <c r="AA1432" i="1"/>
  <c r="B1433" i="1"/>
  <c r="E1433" i="1"/>
  <c r="K1433" i="1"/>
  <c r="L1433" i="1"/>
  <c r="M1433" i="1"/>
  <c r="N1433" i="1"/>
  <c r="T1433" i="1"/>
  <c r="U1433" i="1"/>
  <c r="Z1433" i="1"/>
  <c r="AA1433" i="1"/>
  <c r="B1434" i="1"/>
  <c r="E1434" i="1"/>
  <c r="K1434" i="1"/>
  <c r="L1434" i="1"/>
  <c r="M1434" i="1"/>
  <c r="N1434" i="1"/>
  <c r="T1434" i="1"/>
  <c r="U1434" i="1"/>
  <c r="Z1434" i="1"/>
  <c r="AA1434" i="1"/>
  <c r="B1435" i="1"/>
  <c r="E1435" i="1"/>
  <c r="K1435" i="1"/>
  <c r="L1435" i="1"/>
  <c r="M1435" i="1"/>
  <c r="N1435" i="1"/>
  <c r="T1435" i="1"/>
  <c r="U1435" i="1"/>
  <c r="Z1435" i="1"/>
  <c r="AA1435" i="1"/>
  <c r="B1436" i="1"/>
  <c r="E1436" i="1"/>
  <c r="K1436" i="1"/>
  <c r="L1436" i="1"/>
  <c r="M1436" i="1"/>
  <c r="N1436" i="1"/>
  <c r="T1436" i="1"/>
  <c r="U1436" i="1"/>
  <c r="Z1436" i="1"/>
  <c r="AA1436" i="1"/>
  <c r="B1437" i="1"/>
  <c r="E1437" i="1"/>
  <c r="K1437" i="1"/>
  <c r="L1437" i="1"/>
  <c r="M1437" i="1"/>
  <c r="N1437" i="1"/>
  <c r="T1437" i="1"/>
  <c r="U1437" i="1"/>
  <c r="Z1437" i="1"/>
  <c r="AA1437" i="1"/>
  <c r="B1438" i="1"/>
  <c r="E1438" i="1"/>
  <c r="K1438" i="1"/>
  <c r="L1438" i="1"/>
  <c r="M1438" i="1"/>
  <c r="N1438" i="1"/>
  <c r="T1438" i="1"/>
  <c r="U1438" i="1"/>
  <c r="Z1438" i="1"/>
  <c r="AA1438" i="1"/>
  <c r="B1439" i="1"/>
  <c r="E1439" i="1"/>
  <c r="K1439" i="1"/>
  <c r="L1439" i="1"/>
  <c r="M1439" i="1"/>
  <c r="N1439" i="1"/>
  <c r="T1439" i="1"/>
  <c r="U1439" i="1"/>
  <c r="Z1439" i="1"/>
  <c r="AA1439" i="1"/>
  <c r="B1440" i="1"/>
  <c r="E1440" i="1"/>
  <c r="K1440" i="1"/>
  <c r="L1440" i="1"/>
  <c r="M1440" i="1"/>
  <c r="N1440" i="1"/>
  <c r="T1440" i="1"/>
  <c r="U1440" i="1"/>
  <c r="Z1440" i="1"/>
  <c r="AA1440" i="1"/>
  <c r="B1441" i="1"/>
  <c r="E1441" i="1"/>
  <c r="K1441" i="1"/>
  <c r="L1441" i="1"/>
  <c r="M1441" i="1"/>
  <c r="N1441" i="1"/>
  <c r="T1441" i="1"/>
  <c r="U1441" i="1"/>
  <c r="Z1441" i="1"/>
  <c r="AA1441" i="1"/>
  <c r="B1442" i="1"/>
  <c r="E1442" i="1"/>
  <c r="K1442" i="1"/>
  <c r="L1442" i="1"/>
  <c r="M1442" i="1"/>
  <c r="N1442" i="1"/>
  <c r="T1442" i="1"/>
  <c r="U1442" i="1"/>
  <c r="Z1442" i="1"/>
  <c r="AA1442" i="1"/>
  <c r="B1443" i="1"/>
  <c r="E1443" i="1"/>
  <c r="K1443" i="1"/>
  <c r="L1443" i="1"/>
  <c r="M1443" i="1"/>
  <c r="N1443" i="1"/>
  <c r="T1443" i="1"/>
  <c r="U1443" i="1"/>
  <c r="Z1443" i="1"/>
  <c r="AA1443" i="1"/>
  <c r="B1444" i="1"/>
  <c r="E1444" i="1"/>
  <c r="K1444" i="1"/>
  <c r="L1444" i="1"/>
  <c r="M1444" i="1"/>
  <c r="N1444" i="1"/>
  <c r="T1444" i="1"/>
  <c r="U1444" i="1"/>
  <c r="Z1444" i="1"/>
  <c r="AA1444" i="1"/>
  <c r="B1445" i="1"/>
  <c r="E1445" i="1"/>
  <c r="K1445" i="1"/>
  <c r="L1445" i="1"/>
  <c r="M1445" i="1"/>
  <c r="N1445" i="1"/>
  <c r="T1445" i="1"/>
  <c r="U1445" i="1"/>
  <c r="Z1445" i="1"/>
  <c r="AA1445" i="1"/>
  <c r="B1446" i="1"/>
  <c r="E1446" i="1"/>
  <c r="K1446" i="1"/>
  <c r="L1446" i="1"/>
  <c r="M1446" i="1"/>
  <c r="N1446" i="1"/>
  <c r="T1446" i="1"/>
  <c r="U1446" i="1"/>
  <c r="Z1446" i="1"/>
  <c r="AA1446" i="1"/>
  <c r="B1447" i="1"/>
  <c r="E1447" i="1"/>
  <c r="K1447" i="1"/>
  <c r="L1447" i="1"/>
  <c r="M1447" i="1"/>
  <c r="N1447" i="1"/>
  <c r="T1447" i="1"/>
  <c r="U1447" i="1"/>
  <c r="Z1447" i="1"/>
  <c r="AA1447" i="1"/>
  <c r="B1448" i="1"/>
  <c r="E1448" i="1"/>
  <c r="K1448" i="1"/>
  <c r="L1448" i="1"/>
  <c r="M1448" i="1"/>
  <c r="N1448" i="1"/>
  <c r="T1448" i="1"/>
  <c r="U1448" i="1"/>
  <c r="Z1448" i="1"/>
  <c r="AA1448" i="1"/>
  <c r="B1449" i="1"/>
  <c r="E1449" i="1"/>
  <c r="K1449" i="1"/>
  <c r="L1449" i="1"/>
  <c r="M1449" i="1"/>
  <c r="N1449" i="1"/>
  <c r="T1449" i="1"/>
  <c r="U1449" i="1"/>
  <c r="Z1449" i="1"/>
  <c r="AA1449" i="1"/>
  <c r="B1450" i="1"/>
  <c r="E1450" i="1"/>
  <c r="K1450" i="1"/>
  <c r="L1450" i="1"/>
  <c r="M1450" i="1"/>
  <c r="N1450" i="1"/>
  <c r="T1450" i="1"/>
  <c r="U1450" i="1"/>
  <c r="Z1450" i="1"/>
  <c r="AA1450" i="1"/>
  <c r="B1451" i="1"/>
  <c r="E1451" i="1"/>
  <c r="K1451" i="1"/>
  <c r="L1451" i="1"/>
  <c r="M1451" i="1"/>
  <c r="N1451" i="1"/>
  <c r="T1451" i="1"/>
  <c r="U1451" i="1"/>
  <c r="Z1451" i="1"/>
  <c r="AA1451" i="1"/>
  <c r="B1452" i="1"/>
  <c r="E1452" i="1"/>
  <c r="K1452" i="1"/>
  <c r="L1452" i="1"/>
  <c r="M1452" i="1"/>
  <c r="N1452" i="1"/>
  <c r="T1452" i="1"/>
  <c r="U1452" i="1"/>
  <c r="Z1452" i="1"/>
  <c r="AA1452" i="1"/>
  <c r="B1453" i="1"/>
  <c r="E1453" i="1"/>
  <c r="K1453" i="1"/>
  <c r="L1453" i="1"/>
  <c r="M1453" i="1"/>
  <c r="N1453" i="1"/>
  <c r="T1453" i="1"/>
  <c r="U1453" i="1"/>
  <c r="Z1453" i="1"/>
  <c r="AA1453" i="1"/>
  <c r="B1454" i="1"/>
  <c r="E1454" i="1"/>
  <c r="K1454" i="1"/>
  <c r="L1454" i="1"/>
  <c r="M1454" i="1"/>
  <c r="N1454" i="1"/>
  <c r="T1454" i="1"/>
  <c r="U1454" i="1"/>
  <c r="Z1454" i="1"/>
  <c r="AA1454" i="1"/>
  <c r="B1455" i="1"/>
  <c r="E1455" i="1"/>
  <c r="K1455" i="1"/>
  <c r="L1455" i="1"/>
  <c r="M1455" i="1"/>
  <c r="N1455" i="1"/>
  <c r="T1455" i="1"/>
  <c r="U1455" i="1"/>
  <c r="Z1455" i="1"/>
  <c r="AA1455" i="1"/>
  <c r="B1456" i="1"/>
  <c r="E1456" i="1"/>
  <c r="K1456" i="1"/>
  <c r="L1456" i="1"/>
  <c r="M1456" i="1"/>
  <c r="N1456" i="1"/>
  <c r="T1456" i="1"/>
  <c r="U1456" i="1"/>
  <c r="Z1456" i="1"/>
  <c r="AA1456" i="1"/>
  <c r="B1457" i="1"/>
  <c r="E1457" i="1"/>
  <c r="K1457" i="1"/>
  <c r="L1457" i="1"/>
  <c r="M1457" i="1"/>
  <c r="N1457" i="1"/>
  <c r="T1457" i="1"/>
  <c r="U1457" i="1"/>
  <c r="Z1457" i="1"/>
  <c r="AA1457" i="1"/>
  <c r="B1458" i="1"/>
  <c r="E1458" i="1"/>
  <c r="K1458" i="1"/>
  <c r="L1458" i="1"/>
  <c r="M1458" i="1"/>
  <c r="N1458" i="1"/>
  <c r="T1458" i="1"/>
  <c r="U1458" i="1"/>
  <c r="Z1458" i="1"/>
  <c r="AA1458" i="1"/>
  <c r="B1459" i="1"/>
  <c r="E1459" i="1"/>
  <c r="K1459" i="1"/>
  <c r="L1459" i="1"/>
  <c r="M1459" i="1"/>
  <c r="N1459" i="1"/>
  <c r="T1459" i="1"/>
  <c r="U1459" i="1"/>
  <c r="Z1459" i="1"/>
  <c r="AA1459" i="1"/>
  <c r="B1460" i="1"/>
  <c r="E1460" i="1"/>
  <c r="K1460" i="1"/>
  <c r="L1460" i="1"/>
  <c r="M1460" i="1"/>
  <c r="N1460" i="1"/>
  <c r="T1460" i="1"/>
  <c r="U1460" i="1"/>
  <c r="Z1460" i="1"/>
  <c r="AA1460" i="1"/>
  <c r="B1461" i="1"/>
  <c r="E1461" i="1"/>
  <c r="K1461" i="1"/>
  <c r="L1461" i="1"/>
  <c r="M1461" i="1"/>
  <c r="N1461" i="1"/>
  <c r="T1461" i="1"/>
  <c r="U1461" i="1"/>
  <c r="Z1461" i="1"/>
  <c r="AA1461" i="1"/>
  <c r="B1462" i="1"/>
  <c r="E1462" i="1"/>
  <c r="K1462" i="1"/>
  <c r="L1462" i="1"/>
  <c r="M1462" i="1"/>
  <c r="N1462" i="1"/>
  <c r="T1462" i="1"/>
  <c r="U1462" i="1"/>
  <c r="Z1462" i="1"/>
  <c r="AA1462" i="1"/>
  <c r="B1463" i="1"/>
  <c r="E1463" i="1"/>
  <c r="K1463" i="1"/>
  <c r="L1463" i="1"/>
  <c r="M1463" i="1"/>
  <c r="N1463" i="1"/>
  <c r="T1463" i="1"/>
  <c r="U1463" i="1"/>
  <c r="Z1463" i="1"/>
  <c r="AA1463" i="1"/>
  <c r="B1464" i="1"/>
  <c r="E1464" i="1"/>
  <c r="K1464" i="1"/>
  <c r="L1464" i="1"/>
  <c r="M1464" i="1"/>
  <c r="N1464" i="1"/>
  <c r="T1464" i="1"/>
  <c r="U1464" i="1"/>
  <c r="Z1464" i="1"/>
  <c r="AA1464" i="1"/>
  <c r="B1465" i="1"/>
  <c r="E1465" i="1"/>
  <c r="K1465" i="1"/>
  <c r="L1465" i="1"/>
  <c r="M1465" i="1"/>
  <c r="N1465" i="1"/>
  <c r="T1465" i="1"/>
  <c r="U1465" i="1"/>
  <c r="Z1465" i="1"/>
  <c r="AA1465" i="1"/>
  <c r="B1466" i="1"/>
  <c r="E1466" i="1"/>
  <c r="K1466" i="1"/>
  <c r="L1466" i="1"/>
  <c r="M1466" i="1"/>
  <c r="N1466" i="1"/>
  <c r="T1466" i="1"/>
  <c r="U1466" i="1"/>
  <c r="Z1466" i="1"/>
  <c r="AA1466" i="1"/>
  <c r="B1467" i="1"/>
  <c r="E1467" i="1"/>
  <c r="K1467" i="1"/>
  <c r="L1467" i="1"/>
  <c r="M1467" i="1"/>
  <c r="N1467" i="1"/>
  <c r="T1467" i="1"/>
  <c r="U1467" i="1"/>
  <c r="Z1467" i="1"/>
  <c r="AA1467" i="1"/>
  <c r="B1468" i="1"/>
  <c r="E1468" i="1"/>
  <c r="K1468" i="1"/>
  <c r="L1468" i="1"/>
  <c r="M1468" i="1"/>
  <c r="N1468" i="1"/>
  <c r="T1468" i="1"/>
  <c r="U1468" i="1"/>
  <c r="Z1468" i="1"/>
  <c r="AA1468" i="1"/>
  <c r="B1469" i="1"/>
  <c r="E1469" i="1"/>
  <c r="K1469" i="1"/>
  <c r="L1469" i="1"/>
  <c r="M1469" i="1"/>
  <c r="N1469" i="1"/>
  <c r="T1469" i="1"/>
  <c r="U1469" i="1"/>
  <c r="Z1469" i="1"/>
  <c r="AA1469" i="1"/>
  <c r="B1470" i="1"/>
  <c r="E1470" i="1"/>
  <c r="K1470" i="1"/>
  <c r="L1470" i="1"/>
  <c r="M1470" i="1"/>
  <c r="N1470" i="1"/>
  <c r="T1470" i="1"/>
  <c r="U1470" i="1"/>
  <c r="Z1470" i="1"/>
  <c r="AA1470" i="1"/>
  <c r="B1471" i="1"/>
  <c r="E1471" i="1"/>
  <c r="K1471" i="1"/>
  <c r="L1471" i="1"/>
  <c r="M1471" i="1"/>
  <c r="N1471" i="1"/>
  <c r="T1471" i="1"/>
  <c r="U1471" i="1"/>
  <c r="Z1471" i="1"/>
  <c r="AA1471" i="1"/>
  <c r="B1472" i="1"/>
  <c r="E1472" i="1"/>
  <c r="K1472" i="1"/>
  <c r="L1472" i="1"/>
  <c r="M1472" i="1"/>
  <c r="N1472" i="1"/>
  <c r="T1472" i="1"/>
  <c r="U1472" i="1"/>
  <c r="Z1472" i="1"/>
  <c r="AA1472" i="1"/>
  <c r="B1473" i="1"/>
  <c r="E1473" i="1"/>
  <c r="K1473" i="1"/>
  <c r="L1473" i="1"/>
  <c r="M1473" i="1"/>
  <c r="N1473" i="1"/>
  <c r="T1473" i="1"/>
  <c r="U1473" i="1"/>
  <c r="Z1473" i="1"/>
  <c r="AA1473" i="1"/>
  <c r="B1474" i="1"/>
  <c r="E1474" i="1"/>
  <c r="K1474" i="1"/>
  <c r="L1474" i="1"/>
  <c r="M1474" i="1"/>
  <c r="N1474" i="1"/>
  <c r="T1474" i="1"/>
  <c r="U1474" i="1"/>
  <c r="Z1474" i="1"/>
  <c r="AA1474" i="1"/>
  <c r="B1475" i="1"/>
  <c r="E1475" i="1"/>
  <c r="K1475" i="1"/>
  <c r="L1475" i="1"/>
  <c r="M1475" i="1"/>
  <c r="N1475" i="1"/>
  <c r="T1475" i="1"/>
  <c r="U1475" i="1"/>
  <c r="Z1475" i="1"/>
  <c r="AA1475" i="1"/>
  <c r="B1476" i="1"/>
  <c r="E1476" i="1"/>
  <c r="K1476" i="1"/>
  <c r="L1476" i="1"/>
  <c r="M1476" i="1"/>
  <c r="N1476" i="1"/>
  <c r="T1476" i="1"/>
  <c r="U1476" i="1"/>
  <c r="Z1476" i="1"/>
  <c r="AA1476" i="1"/>
  <c r="B1477" i="1"/>
  <c r="E1477" i="1"/>
  <c r="K1477" i="1"/>
  <c r="L1477" i="1"/>
  <c r="M1477" i="1"/>
  <c r="N1477" i="1"/>
  <c r="T1477" i="1"/>
  <c r="U1477" i="1"/>
  <c r="Z1477" i="1"/>
  <c r="AA1477" i="1"/>
  <c r="B1478" i="1"/>
  <c r="E1478" i="1"/>
  <c r="K1478" i="1"/>
  <c r="L1478" i="1"/>
  <c r="M1478" i="1"/>
  <c r="N1478" i="1"/>
  <c r="T1478" i="1"/>
  <c r="U1478" i="1"/>
  <c r="Z1478" i="1"/>
  <c r="AA1478" i="1"/>
  <c r="B1479" i="1"/>
  <c r="E1479" i="1"/>
  <c r="K1479" i="1"/>
  <c r="L1479" i="1"/>
  <c r="M1479" i="1"/>
  <c r="N1479" i="1"/>
  <c r="T1479" i="1"/>
  <c r="U1479" i="1"/>
  <c r="Z1479" i="1"/>
  <c r="AA1479" i="1"/>
  <c r="B1480" i="1"/>
  <c r="E1480" i="1"/>
  <c r="K1480" i="1"/>
  <c r="L1480" i="1"/>
  <c r="M1480" i="1"/>
  <c r="N1480" i="1"/>
  <c r="T1480" i="1"/>
  <c r="U1480" i="1"/>
  <c r="Z1480" i="1"/>
  <c r="AA1480" i="1"/>
  <c r="B1481" i="1"/>
  <c r="E1481" i="1"/>
  <c r="K1481" i="1"/>
  <c r="L1481" i="1"/>
  <c r="M1481" i="1"/>
  <c r="N1481" i="1"/>
  <c r="T1481" i="1"/>
  <c r="U1481" i="1"/>
  <c r="Z1481" i="1"/>
  <c r="AA1481" i="1"/>
  <c r="B1482" i="1"/>
  <c r="E1482" i="1"/>
  <c r="K1482" i="1"/>
  <c r="L1482" i="1"/>
  <c r="M1482" i="1"/>
  <c r="N1482" i="1"/>
  <c r="T1482" i="1"/>
  <c r="U1482" i="1"/>
  <c r="Z1482" i="1"/>
  <c r="AA1482" i="1"/>
  <c r="B1483" i="1"/>
  <c r="E1483" i="1"/>
  <c r="K1483" i="1"/>
  <c r="L1483" i="1"/>
  <c r="M1483" i="1"/>
  <c r="N1483" i="1"/>
  <c r="T1483" i="1"/>
  <c r="U1483" i="1"/>
  <c r="Z1483" i="1"/>
  <c r="AA1483" i="1"/>
  <c r="B1484" i="1"/>
  <c r="E1484" i="1"/>
  <c r="K1484" i="1"/>
  <c r="L1484" i="1"/>
  <c r="M1484" i="1"/>
  <c r="N1484" i="1"/>
  <c r="T1484" i="1"/>
  <c r="U1484" i="1"/>
  <c r="Z1484" i="1"/>
  <c r="AA1484" i="1"/>
  <c r="B1485" i="1"/>
  <c r="E1485" i="1"/>
  <c r="K1485" i="1"/>
  <c r="L1485" i="1"/>
  <c r="M1485" i="1"/>
  <c r="N1485" i="1"/>
  <c r="T1485" i="1"/>
  <c r="U1485" i="1"/>
  <c r="Z1485" i="1"/>
  <c r="AA1485" i="1"/>
  <c r="B1486" i="1"/>
  <c r="E1486" i="1"/>
  <c r="K1486" i="1"/>
  <c r="L1486" i="1"/>
  <c r="M1486" i="1"/>
  <c r="N1486" i="1"/>
  <c r="T1486" i="1"/>
  <c r="U1486" i="1"/>
  <c r="Z1486" i="1"/>
  <c r="AA1486" i="1"/>
  <c r="B1487" i="1"/>
  <c r="E1487" i="1"/>
  <c r="K1487" i="1"/>
  <c r="L1487" i="1"/>
  <c r="M1487" i="1"/>
  <c r="N1487" i="1"/>
  <c r="T1487" i="1"/>
  <c r="U1487" i="1"/>
  <c r="Z1487" i="1"/>
  <c r="AA1487" i="1"/>
  <c r="B1488" i="1"/>
  <c r="E1488" i="1"/>
  <c r="K1488" i="1"/>
  <c r="L1488" i="1"/>
  <c r="M1488" i="1"/>
  <c r="N1488" i="1"/>
  <c r="T1488" i="1"/>
  <c r="U1488" i="1"/>
  <c r="Z1488" i="1"/>
  <c r="AA1488" i="1"/>
  <c r="B1489" i="1"/>
  <c r="E1489" i="1"/>
  <c r="K1489" i="1"/>
  <c r="L1489" i="1"/>
  <c r="M1489" i="1"/>
  <c r="N1489" i="1"/>
  <c r="T1489" i="1"/>
  <c r="U1489" i="1"/>
  <c r="Z1489" i="1"/>
  <c r="AA1489" i="1"/>
  <c r="B1490" i="1"/>
  <c r="E1490" i="1"/>
  <c r="K1490" i="1"/>
  <c r="L1490" i="1"/>
  <c r="M1490" i="1"/>
  <c r="N1490" i="1"/>
  <c r="T1490" i="1"/>
  <c r="U1490" i="1"/>
  <c r="Z1490" i="1"/>
  <c r="AA1490" i="1"/>
  <c r="B1491" i="1"/>
  <c r="E1491" i="1"/>
  <c r="K1491" i="1"/>
  <c r="L1491" i="1"/>
  <c r="M1491" i="1"/>
  <c r="N1491" i="1"/>
  <c r="T1491" i="1"/>
  <c r="U1491" i="1"/>
  <c r="Z1491" i="1"/>
  <c r="AA1491" i="1"/>
  <c r="B1492" i="1"/>
  <c r="E1492" i="1"/>
  <c r="K1492" i="1"/>
  <c r="L1492" i="1"/>
  <c r="M1492" i="1"/>
  <c r="N1492" i="1"/>
  <c r="T1492" i="1"/>
  <c r="U1492" i="1"/>
  <c r="Z1492" i="1"/>
  <c r="AA1492" i="1"/>
  <c r="B1493" i="1"/>
  <c r="E1493" i="1"/>
  <c r="K1493" i="1"/>
  <c r="L1493" i="1"/>
  <c r="M1493" i="1"/>
  <c r="N1493" i="1"/>
  <c r="T1493" i="1"/>
  <c r="U1493" i="1"/>
  <c r="Z1493" i="1"/>
  <c r="AA1493" i="1"/>
  <c r="B1494" i="1"/>
  <c r="E1494" i="1"/>
  <c r="K1494" i="1"/>
  <c r="L1494" i="1"/>
  <c r="M1494" i="1"/>
  <c r="N1494" i="1"/>
  <c r="T1494" i="1"/>
  <c r="U1494" i="1"/>
  <c r="Z1494" i="1"/>
  <c r="AA1494" i="1"/>
  <c r="B1495" i="1"/>
  <c r="E1495" i="1"/>
  <c r="K1495" i="1"/>
  <c r="L1495" i="1"/>
  <c r="M1495" i="1"/>
  <c r="N1495" i="1"/>
  <c r="T1495" i="1"/>
  <c r="U1495" i="1"/>
  <c r="Z1495" i="1"/>
  <c r="AA1495" i="1"/>
  <c r="B1496" i="1"/>
  <c r="E1496" i="1"/>
  <c r="K1496" i="1"/>
  <c r="L1496" i="1"/>
  <c r="M1496" i="1"/>
  <c r="N1496" i="1"/>
  <c r="T1496" i="1"/>
  <c r="U1496" i="1"/>
  <c r="Z1496" i="1"/>
  <c r="AA1496" i="1"/>
  <c r="B1497" i="1"/>
  <c r="E1497" i="1"/>
  <c r="K1497" i="1"/>
  <c r="L1497" i="1"/>
  <c r="M1497" i="1"/>
  <c r="N1497" i="1"/>
  <c r="T1497" i="1"/>
  <c r="U1497" i="1"/>
  <c r="Z1497" i="1"/>
  <c r="AA1497" i="1"/>
  <c r="B1498" i="1"/>
  <c r="E1498" i="1"/>
  <c r="K1498" i="1"/>
  <c r="L1498" i="1"/>
  <c r="M1498" i="1"/>
  <c r="N1498" i="1"/>
  <c r="T1498" i="1"/>
  <c r="U1498" i="1"/>
  <c r="Z1498" i="1"/>
  <c r="AA1498" i="1"/>
  <c r="B1499" i="1"/>
  <c r="E1499" i="1"/>
  <c r="K1499" i="1"/>
  <c r="L1499" i="1"/>
  <c r="M1499" i="1"/>
  <c r="N1499" i="1"/>
  <c r="T1499" i="1"/>
  <c r="U1499" i="1"/>
  <c r="Z1499" i="1"/>
  <c r="AA1499" i="1"/>
  <c r="B1500" i="1"/>
  <c r="E1500" i="1"/>
  <c r="K1500" i="1"/>
  <c r="L1500" i="1"/>
  <c r="M1500" i="1"/>
  <c r="N1500" i="1"/>
  <c r="T1500" i="1"/>
  <c r="U1500" i="1"/>
  <c r="Z1500" i="1"/>
  <c r="AA1500" i="1"/>
  <c r="B1501" i="1"/>
  <c r="E1501" i="1"/>
  <c r="K1501" i="1"/>
  <c r="L1501" i="1"/>
  <c r="M1501" i="1"/>
  <c r="N1501" i="1"/>
  <c r="T1501" i="1"/>
  <c r="U1501" i="1"/>
  <c r="Z1501" i="1"/>
  <c r="AA1501" i="1"/>
  <c r="B1502" i="1"/>
  <c r="E1502" i="1"/>
  <c r="K1502" i="1"/>
  <c r="L1502" i="1"/>
  <c r="M1502" i="1"/>
  <c r="N1502" i="1"/>
  <c r="T1502" i="1"/>
  <c r="U1502" i="1"/>
  <c r="Z1502" i="1"/>
  <c r="AA1502" i="1"/>
  <c r="B1503" i="1"/>
  <c r="E1503" i="1"/>
  <c r="K1503" i="1"/>
  <c r="L1503" i="1"/>
  <c r="M1503" i="1"/>
  <c r="N1503" i="1"/>
  <c r="T1503" i="1"/>
  <c r="U1503" i="1"/>
  <c r="Z1503" i="1"/>
  <c r="AA1503" i="1"/>
  <c r="B1504" i="1"/>
  <c r="E1504" i="1"/>
  <c r="K1504" i="1"/>
  <c r="L1504" i="1"/>
  <c r="M1504" i="1"/>
  <c r="N1504" i="1"/>
  <c r="T1504" i="1"/>
  <c r="U1504" i="1"/>
  <c r="Z1504" i="1"/>
  <c r="AA1504" i="1"/>
  <c r="B1505" i="1"/>
  <c r="E1505" i="1"/>
  <c r="K1505" i="1"/>
  <c r="L1505" i="1"/>
  <c r="M1505" i="1"/>
  <c r="N1505" i="1"/>
  <c r="T1505" i="1"/>
  <c r="U1505" i="1"/>
  <c r="Z1505" i="1"/>
  <c r="AA1505" i="1"/>
  <c r="B1506" i="1"/>
  <c r="E1506" i="1"/>
  <c r="K1506" i="1"/>
  <c r="L1506" i="1"/>
  <c r="M1506" i="1"/>
  <c r="N1506" i="1"/>
  <c r="T1506" i="1"/>
  <c r="U1506" i="1"/>
  <c r="Z1506" i="1"/>
  <c r="AA1506" i="1"/>
  <c r="B1507" i="1"/>
  <c r="E1507" i="1"/>
  <c r="K1507" i="1"/>
  <c r="L1507" i="1"/>
  <c r="M1507" i="1"/>
  <c r="N1507" i="1"/>
  <c r="T1507" i="1"/>
  <c r="U1507" i="1"/>
  <c r="Z1507" i="1"/>
  <c r="AA1507" i="1"/>
  <c r="B1508" i="1"/>
  <c r="E1508" i="1"/>
  <c r="K1508" i="1"/>
  <c r="L1508" i="1"/>
  <c r="M1508" i="1"/>
  <c r="N1508" i="1"/>
  <c r="T1508" i="1"/>
  <c r="U1508" i="1"/>
  <c r="Z1508" i="1"/>
  <c r="AA1508" i="1"/>
  <c r="B1509" i="1"/>
  <c r="E1509" i="1"/>
  <c r="K1509" i="1"/>
  <c r="L1509" i="1"/>
  <c r="M1509" i="1"/>
  <c r="N1509" i="1"/>
  <c r="T1509" i="1"/>
  <c r="U1509" i="1"/>
  <c r="Z1509" i="1"/>
  <c r="AA1509" i="1"/>
  <c r="B1510" i="1"/>
  <c r="E1510" i="1"/>
  <c r="K1510" i="1"/>
  <c r="L1510" i="1"/>
  <c r="M1510" i="1"/>
  <c r="N1510" i="1"/>
  <c r="T1510" i="1"/>
  <c r="U1510" i="1"/>
  <c r="Z1510" i="1"/>
  <c r="AA1510" i="1"/>
  <c r="B1511" i="1"/>
  <c r="E1511" i="1"/>
  <c r="K1511" i="1"/>
  <c r="L1511" i="1"/>
  <c r="M1511" i="1"/>
  <c r="N1511" i="1"/>
  <c r="T1511" i="1"/>
  <c r="U1511" i="1"/>
  <c r="Z1511" i="1"/>
  <c r="AA1511" i="1"/>
  <c r="B1512" i="1"/>
  <c r="E1512" i="1"/>
  <c r="K1512" i="1"/>
  <c r="L1512" i="1"/>
  <c r="M1512" i="1"/>
  <c r="N1512" i="1"/>
  <c r="T1512" i="1"/>
  <c r="U1512" i="1"/>
  <c r="Z1512" i="1"/>
  <c r="AA1512" i="1"/>
  <c r="B1513" i="1"/>
  <c r="E1513" i="1"/>
  <c r="K1513" i="1"/>
  <c r="L1513" i="1"/>
  <c r="M1513" i="1"/>
  <c r="N1513" i="1"/>
  <c r="T1513" i="1"/>
  <c r="U1513" i="1"/>
  <c r="Z1513" i="1"/>
  <c r="AA1513" i="1"/>
  <c r="B1514" i="1"/>
  <c r="E1514" i="1"/>
  <c r="K1514" i="1"/>
  <c r="L1514" i="1"/>
  <c r="M1514" i="1"/>
  <c r="N1514" i="1"/>
  <c r="T1514" i="1"/>
  <c r="U1514" i="1"/>
  <c r="Z1514" i="1"/>
  <c r="AA1514" i="1"/>
  <c r="B1515" i="1"/>
  <c r="E1515" i="1"/>
  <c r="K1515" i="1"/>
  <c r="L1515" i="1"/>
  <c r="M1515" i="1"/>
  <c r="N1515" i="1"/>
  <c r="T1515" i="1"/>
  <c r="U1515" i="1"/>
  <c r="Z1515" i="1"/>
  <c r="AA1515" i="1"/>
  <c r="B1516" i="1"/>
  <c r="E1516" i="1"/>
  <c r="K1516" i="1"/>
  <c r="L1516" i="1"/>
  <c r="M1516" i="1"/>
  <c r="N1516" i="1"/>
  <c r="T1516" i="1"/>
  <c r="U1516" i="1"/>
  <c r="Z1516" i="1"/>
  <c r="AA1516" i="1"/>
  <c r="B1517" i="1"/>
  <c r="E1517" i="1"/>
  <c r="K1517" i="1"/>
  <c r="L1517" i="1"/>
  <c r="M1517" i="1"/>
  <c r="N1517" i="1"/>
  <c r="T1517" i="1"/>
  <c r="U1517" i="1"/>
  <c r="Z1517" i="1"/>
  <c r="AA1517" i="1"/>
  <c r="B1518" i="1"/>
  <c r="E1518" i="1"/>
  <c r="K1518" i="1"/>
  <c r="L1518" i="1"/>
  <c r="M1518" i="1"/>
  <c r="N1518" i="1"/>
  <c r="T1518" i="1"/>
  <c r="U1518" i="1"/>
  <c r="Z1518" i="1"/>
  <c r="AA1518" i="1"/>
  <c r="B1519" i="1"/>
  <c r="E1519" i="1"/>
  <c r="K1519" i="1"/>
  <c r="L1519" i="1"/>
  <c r="M1519" i="1"/>
  <c r="N1519" i="1"/>
  <c r="T1519" i="1"/>
  <c r="U1519" i="1"/>
  <c r="Z1519" i="1"/>
  <c r="AA1519" i="1"/>
  <c r="B1520" i="1"/>
  <c r="E1520" i="1"/>
  <c r="K1520" i="1"/>
  <c r="L1520" i="1"/>
  <c r="M1520" i="1"/>
  <c r="N1520" i="1"/>
  <c r="T1520" i="1"/>
  <c r="U1520" i="1"/>
  <c r="Z1520" i="1"/>
  <c r="AA1520" i="1"/>
  <c r="B1521" i="1"/>
  <c r="E1521" i="1"/>
  <c r="K1521" i="1"/>
  <c r="L1521" i="1"/>
  <c r="M1521" i="1"/>
  <c r="N1521" i="1"/>
  <c r="T1521" i="1"/>
  <c r="U1521" i="1"/>
  <c r="Z1521" i="1"/>
  <c r="AA1521" i="1"/>
  <c r="B1522" i="1"/>
  <c r="E1522" i="1"/>
  <c r="K1522" i="1"/>
  <c r="L1522" i="1"/>
  <c r="M1522" i="1"/>
  <c r="N1522" i="1"/>
  <c r="T1522" i="1"/>
  <c r="U1522" i="1"/>
  <c r="Z1522" i="1"/>
  <c r="AA1522" i="1"/>
  <c r="B1523" i="1"/>
  <c r="E1523" i="1"/>
  <c r="K1523" i="1"/>
  <c r="L1523" i="1"/>
  <c r="M1523" i="1"/>
  <c r="N1523" i="1"/>
  <c r="T1523" i="1"/>
  <c r="U1523" i="1"/>
  <c r="Z1523" i="1"/>
  <c r="AA1523" i="1"/>
  <c r="B1524" i="1"/>
  <c r="E1524" i="1"/>
  <c r="K1524" i="1"/>
  <c r="L1524" i="1"/>
  <c r="M1524" i="1"/>
  <c r="N1524" i="1"/>
  <c r="T1524" i="1"/>
  <c r="U1524" i="1"/>
  <c r="Z1524" i="1"/>
  <c r="AA1524" i="1"/>
  <c r="B1525" i="1"/>
  <c r="E1525" i="1"/>
  <c r="K1525" i="1"/>
  <c r="L1525" i="1"/>
  <c r="M1525" i="1"/>
  <c r="N1525" i="1"/>
  <c r="T1525" i="1"/>
  <c r="U1525" i="1"/>
  <c r="Z1525" i="1"/>
  <c r="AA1525" i="1"/>
  <c r="B1526" i="1"/>
  <c r="E1526" i="1"/>
  <c r="K1526" i="1"/>
  <c r="L1526" i="1"/>
  <c r="M1526" i="1"/>
  <c r="N1526" i="1"/>
  <c r="T1526" i="1"/>
  <c r="U1526" i="1"/>
  <c r="Z1526" i="1"/>
  <c r="AA1526" i="1"/>
  <c r="B1527" i="1"/>
  <c r="E1527" i="1"/>
  <c r="K1527" i="1"/>
  <c r="L1527" i="1"/>
  <c r="M1527" i="1"/>
  <c r="N1527" i="1"/>
  <c r="T1527" i="1"/>
  <c r="U1527" i="1"/>
  <c r="Z1527" i="1"/>
  <c r="AA1527" i="1"/>
  <c r="B1528" i="1"/>
  <c r="E1528" i="1"/>
  <c r="K1528" i="1"/>
  <c r="L1528" i="1"/>
  <c r="M1528" i="1"/>
  <c r="N1528" i="1"/>
  <c r="T1528" i="1"/>
  <c r="U1528" i="1"/>
  <c r="Z1528" i="1"/>
  <c r="AA1528" i="1"/>
  <c r="B1529" i="1"/>
  <c r="E1529" i="1"/>
  <c r="K1529" i="1"/>
  <c r="L1529" i="1"/>
  <c r="M1529" i="1"/>
  <c r="N1529" i="1"/>
  <c r="T1529" i="1"/>
  <c r="U1529" i="1"/>
  <c r="Z1529" i="1"/>
  <c r="AA1529" i="1"/>
  <c r="B1530" i="1"/>
  <c r="E1530" i="1"/>
  <c r="K1530" i="1"/>
  <c r="L1530" i="1"/>
  <c r="M1530" i="1"/>
  <c r="N1530" i="1"/>
  <c r="T1530" i="1"/>
  <c r="U1530" i="1"/>
  <c r="Z1530" i="1"/>
  <c r="AA1530" i="1"/>
  <c r="B1531" i="1"/>
  <c r="E1531" i="1"/>
  <c r="K1531" i="1"/>
  <c r="L1531" i="1"/>
  <c r="M1531" i="1"/>
  <c r="N1531" i="1"/>
  <c r="T1531" i="1"/>
  <c r="U1531" i="1"/>
  <c r="Z1531" i="1"/>
  <c r="AA1531" i="1"/>
  <c r="B1532" i="1"/>
  <c r="E1532" i="1"/>
  <c r="K1532" i="1"/>
  <c r="L1532" i="1"/>
  <c r="M1532" i="1"/>
  <c r="N1532" i="1"/>
  <c r="T1532" i="1"/>
  <c r="U1532" i="1"/>
  <c r="Z1532" i="1"/>
  <c r="AA1532" i="1"/>
  <c r="B1533" i="1"/>
  <c r="E1533" i="1"/>
  <c r="K1533" i="1"/>
  <c r="L1533" i="1"/>
  <c r="M1533" i="1"/>
  <c r="N1533" i="1"/>
  <c r="T1533" i="1"/>
  <c r="U1533" i="1"/>
  <c r="Z1533" i="1"/>
  <c r="AA1533" i="1"/>
  <c r="B1534" i="1"/>
  <c r="E1534" i="1"/>
  <c r="K1534" i="1"/>
  <c r="L1534" i="1"/>
  <c r="M1534" i="1"/>
  <c r="N1534" i="1"/>
  <c r="T1534" i="1"/>
  <c r="U1534" i="1"/>
  <c r="Z1534" i="1"/>
  <c r="AA1534" i="1"/>
  <c r="B1535" i="1"/>
  <c r="E1535" i="1"/>
  <c r="K1535" i="1"/>
  <c r="L1535" i="1"/>
  <c r="M1535" i="1"/>
  <c r="N1535" i="1"/>
  <c r="T1535" i="1"/>
  <c r="U1535" i="1"/>
  <c r="Z1535" i="1"/>
  <c r="AA1535" i="1"/>
  <c r="B1536" i="1"/>
  <c r="E1536" i="1"/>
  <c r="K1536" i="1"/>
  <c r="L1536" i="1"/>
  <c r="M1536" i="1"/>
  <c r="N1536" i="1"/>
  <c r="T1536" i="1"/>
  <c r="U1536" i="1"/>
  <c r="Z1536" i="1"/>
  <c r="AA1536" i="1"/>
  <c r="B1537" i="1"/>
  <c r="E1537" i="1"/>
  <c r="K1537" i="1"/>
  <c r="L1537" i="1"/>
  <c r="M1537" i="1"/>
  <c r="N1537" i="1"/>
  <c r="T1537" i="1"/>
  <c r="U1537" i="1"/>
  <c r="Z1537" i="1"/>
  <c r="AA1537" i="1"/>
  <c r="B1538" i="1"/>
  <c r="E1538" i="1"/>
  <c r="K1538" i="1"/>
  <c r="L1538" i="1"/>
  <c r="M1538" i="1"/>
  <c r="N1538" i="1"/>
  <c r="T1538" i="1"/>
  <c r="U1538" i="1"/>
  <c r="Z1538" i="1"/>
  <c r="AA1538" i="1"/>
  <c r="B1539" i="1"/>
  <c r="E1539" i="1"/>
  <c r="K1539" i="1"/>
  <c r="L1539" i="1"/>
  <c r="M1539" i="1"/>
  <c r="N1539" i="1"/>
  <c r="T1539" i="1"/>
  <c r="U1539" i="1"/>
  <c r="Z1539" i="1"/>
  <c r="AA1539" i="1"/>
  <c r="B1540" i="1"/>
  <c r="E1540" i="1"/>
  <c r="K1540" i="1"/>
  <c r="L1540" i="1"/>
  <c r="M1540" i="1"/>
  <c r="N1540" i="1"/>
  <c r="T1540" i="1"/>
  <c r="U1540" i="1"/>
  <c r="Z1540" i="1"/>
  <c r="AA1540" i="1"/>
  <c r="B1541" i="1"/>
  <c r="E1541" i="1"/>
  <c r="K1541" i="1"/>
  <c r="L1541" i="1"/>
  <c r="M1541" i="1"/>
  <c r="N1541" i="1"/>
  <c r="T1541" i="1"/>
  <c r="U1541" i="1"/>
  <c r="Z1541" i="1"/>
  <c r="AA1541" i="1"/>
  <c r="B1542" i="1"/>
  <c r="E1542" i="1"/>
  <c r="K1542" i="1"/>
  <c r="L1542" i="1"/>
  <c r="M1542" i="1"/>
  <c r="N1542" i="1"/>
  <c r="T1542" i="1"/>
  <c r="U1542" i="1"/>
  <c r="Z1542" i="1"/>
  <c r="AA1542" i="1"/>
  <c r="B1543" i="1"/>
  <c r="E1543" i="1"/>
  <c r="K1543" i="1"/>
  <c r="L1543" i="1"/>
  <c r="M1543" i="1"/>
  <c r="N1543" i="1"/>
  <c r="T1543" i="1"/>
  <c r="U1543" i="1"/>
  <c r="Z1543" i="1"/>
  <c r="AA1543" i="1"/>
  <c r="B1544" i="1"/>
  <c r="E1544" i="1"/>
  <c r="K1544" i="1"/>
  <c r="L1544" i="1"/>
  <c r="M1544" i="1"/>
  <c r="N1544" i="1"/>
  <c r="T1544" i="1"/>
  <c r="U1544" i="1"/>
  <c r="Z1544" i="1"/>
  <c r="AA1544" i="1"/>
  <c r="B1545" i="1"/>
  <c r="E1545" i="1"/>
  <c r="K1545" i="1"/>
  <c r="L1545" i="1"/>
  <c r="M1545" i="1"/>
  <c r="N1545" i="1"/>
  <c r="T1545" i="1"/>
  <c r="U1545" i="1"/>
  <c r="Z1545" i="1"/>
  <c r="AA1545" i="1"/>
  <c r="B1546" i="1"/>
  <c r="E1546" i="1"/>
  <c r="K1546" i="1"/>
  <c r="L1546" i="1"/>
  <c r="M1546" i="1"/>
  <c r="N1546" i="1"/>
  <c r="T1546" i="1"/>
  <c r="U1546" i="1"/>
  <c r="Z1546" i="1"/>
  <c r="AA1546" i="1"/>
  <c r="B1547" i="1"/>
  <c r="E1547" i="1"/>
  <c r="K1547" i="1"/>
  <c r="L1547" i="1"/>
  <c r="M1547" i="1"/>
  <c r="N1547" i="1"/>
  <c r="T1547" i="1"/>
  <c r="U1547" i="1"/>
  <c r="Z1547" i="1"/>
  <c r="AA1547" i="1"/>
  <c r="B1548" i="1"/>
  <c r="E1548" i="1"/>
  <c r="K1548" i="1"/>
  <c r="L1548" i="1"/>
  <c r="M1548" i="1"/>
  <c r="N1548" i="1"/>
  <c r="T1548" i="1"/>
  <c r="U1548" i="1"/>
  <c r="Z1548" i="1"/>
  <c r="AA1548" i="1"/>
  <c r="B1549" i="1"/>
  <c r="E1549" i="1"/>
  <c r="K1549" i="1"/>
  <c r="L1549" i="1"/>
  <c r="M1549" i="1"/>
  <c r="N1549" i="1"/>
  <c r="T1549" i="1"/>
  <c r="U1549" i="1"/>
  <c r="Z1549" i="1"/>
  <c r="AA1549" i="1"/>
  <c r="B1550" i="1"/>
  <c r="E1550" i="1"/>
  <c r="K1550" i="1"/>
  <c r="L1550" i="1"/>
  <c r="M1550" i="1"/>
  <c r="N1550" i="1"/>
  <c r="T1550" i="1"/>
  <c r="U1550" i="1"/>
  <c r="Z1550" i="1"/>
  <c r="AA1550" i="1"/>
  <c r="B1551" i="1"/>
  <c r="E1551" i="1"/>
  <c r="K1551" i="1"/>
  <c r="L1551" i="1"/>
  <c r="M1551" i="1"/>
  <c r="N1551" i="1"/>
  <c r="T1551" i="1"/>
  <c r="U1551" i="1"/>
  <c r="Z1551" i="1"/>
  <c r="AA1551" i="1"/>
  <c r="B1552" i="1"/>
  <c r="E1552" i="1"/>
  <c r="K1552" i="1"/>
  <c r="L1552" i="1"/>
  <c r="M1552" i="1"/>
  <c r="N1552" i="1"/>
  <c r="T1552" i="1"/>
  <c r="U1552" i="1"/>
  <c r="Z1552" i="1"/>
  <c r="AA1552" i="1"/>
  <c r="B1553" i="1"/>
  <c r="E1553" i="1"/>
  <c r="K1553" i="1"/>
  <c r="L1553" i="1"/>
  <c r="M1553" i="1"/>
  <c r="N1553" i="1"/>
  <c r="T1553" i="1"/>
  <c r="U1553" i="1"/>
  <c r="Z1553" i="1"/>
  <c r="AA1553" i="1"/>
  <c r="B1554" i="1"/>
  <c r="E1554" i="1"/>
  <c r="K1554" i="1"/>
  <c r="L1554" i="1"/>
  <c r="M1554" i="1"/>
  <c r="N1554" i="1"/>
  <c r="T1554" i="1"/>
  <c r="U1554" i="1"/>
  <c r="Z1554" i="1"/>
  <c r="AA1554" i="1"/>
  <c r="B1555" i="1"/>
  <c r="E1555" i="1"/>
  <c r="K1555" i="1"/>
  <c r="L1555" i="1"/>
  <c r="M1555" i="1"/>
  <c r="N1555" i="1"/>
  <c r="T1555" i="1"/>
  <c r="U1555" i="1"/>
  <c r="Z1555" i="1"/>
  <c r="AA1555" i="1"/>
  <c r="B1556" i="1"/>
  <c r="E1556" i="1"/>
  <c r="K1556" i="1"/>
  <c r="L1556" i="1"/>
  <c r="M1556" i="1"/>
  <c r="N1556" i="1"/>
  <c r="T1556" i="1"/>
  <c r="U1556" i="1"/>
  <c r="Z1556" i="1"/>
  <c r="AA1556" i="1"/>
  <c r="B1557" i="1"/>
  <c r="E1557" i="1"/>
  <c r="K1557" i="1"/>
  <c r="L1557" i="1"/>
  <c r="M1557" i="1"/>
  <c r="N1557" i="1"/>
  <c r="T1557" i="1"/>
  <c r="U1557" i="1"/>
  <c r="Z1557" i="1"/>
  <c r="AA1557" i="1"/>
  <c r="B1558" i="1"/>
  <c r="E1558" i="1"/>
  <c r="K1558" i="1"/>
  <c r="L1558" i="1"/>
  <c r="M1558" i="1"/>
  <c r="N1558" i="1"/>
  <c r="T1558" i="1"/>
  <c r="U1558" i="1"/>
  <c r="Z1558" i="1"/>
  <c r="AA1558" i="1"/>
  <c r="B1559" i="1"/>
  <c r="E1559" i="1"/>
  <c r="K1559" i="1"/>
  <c r="L1559" i="1"/>
  <c r="M1559" i="1"/>
  <c r="N1559" i="1"/>
  <c r="T1559" i="1"/>
  <c r="U1559" i="1"/>
  <c r="Z1559" i="1"/>
  <c r="AA1559" i="1"/>
  <c r="B1560" i="1"/>
  <c r="E1560" i="1"/>
  <c r="K1560" i="1"/>
  <c r="L1560" i="1"/>
  <c r="M1560" i="1"/>
  <c r="N1560" i="1"/>
  <c r="T1560" i="1"/>
  <c r="U1560" i="1"/>
  <c r="Z1560" i="1"/>
  <c r="AA1560" i="1"/>
  <c r="B1561" i="1"/>
  <c r="E1561" i="1"/>
  <c r="K1561" i="1"/>
  <c r="L1561" i="1"/>
  <c r="M1561" i="1"/>
  <c r="N1561" i="1"/>
  <c r="T1561" i="1"/>
  <c r="U1561" i="1"/>
  <c r="Z1561" i="1"/>
  <c r="AA1561" i="1"/>
  <c r="B1562" i="1"/>
  <c r="E1562" i="1"/>
  <c r="K1562" i="1"/>
  <c r="L1562" i="1"/>
  <c r="M1562" i="1"/>
  <c r="N1562" i="1"/>
  <c r="T1562" i="1"/>
  <c r="U1562" i="1"/>
  <c r="Z1562" i="1"/>
  <c r="AA1562" i="1"/>
  <c r="B1563" i="1"/>
  <c r="E1563" i="1"/>
  <c r="K1563" i="1"/>
  <c r="L1563" i="1"/>
  <c r="M1563" i="1"/>
  <c r="N1563" i="1"/>
  <c r="T1563" i="1"/>
  <c r="U1563" i="1"/>
  <c r="Z1563" i="1"/>
  <c r="AA1563" i="1"/>
  <c r="B1564" i="1"/>
  <c r="E1564" i="1"/>
  <c r="K1564" i="1"/>
  <c r="L1564" i="1"/>
  <c r="M1564" i="1"/>
  <c r="N1564" i="1"/>
  <c r="T1564" i="1"/>
  <c r="U1564" i="1"/>
  <c r="Z1564" i="1"/>
  <c r="AA1564" i="1"/>
  <c r="B1565" i="1"/>
  <c r="E1565" i="1"/>
  <c r="K1565" i="1"/>
  <c r="L1565" i="1"/>
  <c r="M1565" i="1"/>
  <c r="N1565" i="1"/>
  <c r="T1565" i="1"/>
  <c r="U1565" i="1"/>
  <c r="Z1565" i="1"/>
  <c r="AA1565" i="1"/>
  <c r="B1566" i="1"/>
  <c r="E1566" i="1"/>
  <c r="K1566" i="1"/>
  <c r="L1566" i="1"/>
  <c r="M1566" i="1"/>
  <c r="N1566" i="1"/>
  <c r="T1566" i="1"/>
  <c r="U1566" i="1"/>
  <c r="Z1566" i="1"/>
  <c r="AA1566" i="1"/>
  <c r="B1567" i="1"/>
  <c r="E1567" i="1"/>
  <c r="K1567" i="1"/>
  <c r="L1567" i="1"/>
  <c r="M1567" i="1"/>
  <c r="N1567" i="1"/>
  <c r="T1567" i="1"/>
  <c r="U1567" i="1"/>
  <c r="Z1567" i="1"/>
  <c r="AA1567" i="1"/>
  <c r="B1568" i="1"/>
  <c r="E1568" i="1"/>
  <c r="K1568" i="1"/>
  <c r="L1568" i="1"/>
  <c r="M1568" i="1"/>
  <c r="N1568" i="1"/>
  <c r="T1568" i="1"/>
  <c r="U1568" i="1"/>
  <c r="Z1568" i="1"/>
  <c r="AA1568" i="1"/>
  <c r="B1569" i="1"/>
  <c r="E1569" i="1"/>
  <c r="K1569" i="1"/>
  <c r="L1569" i="1"/>
  <c r="M1569" i="1"/>
  <c r="N1569" i="1"/>
  <c r="T1569" i="1"/>
  <c r="U1569" i="1"/>
  <c r="Z1569" i="1"/>
  <c r="AA1569" i="1"/>
  <c r="B1570" i="1"/>
  <c r="E1570" i="1"/>
  <c r="K1570" i="1"/>
  <c r="L1570" i="1"/>
  <c r="M1570" i="1"/>
  <c r="N1570" i="1"/>
  <c r="T1570" i="1"/>
  <c r="U1570" i="1"/>
  <c r="Z1570" i="1"/>
  <c r="AA1570" i="1"/>
  <c r="B1571" i="1"/>
  <c r="E1571" i="1"/>
  <c r="K1571" i="1"/>
  <c r="L1571" i="1"/>
  <c r="M1571" i="1"/>
  <c r="N1571" i="1"/>
  <c r="T1571" i="1"/>
  <c r="U1571" i="1"/>
  <c r="Z1571" i="1"/>
  <c r="AA1571" i="1"/>
  <c r="B1572" i="1"/>
  <c r="E1572" i="1"/>
  <c r="K1572" i="1"/>
  <c r="L1572" i="1"/>
  <c r="M1572" i="1"/>
  <c r="N1572" i="1"/>
  <c r="T1572" i="1"/>
  <c r="U1572" i="1"/>
  <c r="Z1572" i="1"/>
  <c r="AA1572" i="1"/>
  <c r="B1573" i="1"/>
  <c r="E1573" i="1"/>
  <c r="K1573" i="1"/>
  <c r="L1573" i="1"/>
  <c r="M1573" i="1"/>
  <c r="N1573" i="1"/>
  <c r="T1573" i="1"/>
  <c r="U1573" i="1"/>
  <c r="Z1573" i="1"/>
  <c r="AA1573" i="1"/>
  <c r="B1574" i="1"/>
  <c r="E1574" i="1"/>
  <c r="K1574" i="1"/>
  <c r="L1574" i="1"/>
  <c r="M1574" i="1"/>
  <c r="N1574" i="1"/>
  <c r="T1574" i="1"/>
  <c r="U1574" i="1"/>
  <c r="Z1574" i="1"/>
  <c r="AA1574" i="1"/>
  <c r="B1575" i="1"/>
  <c r="E1575" i="1"/>
  <c r="K1575" i="1"/>
  <c r="L1575" i="1"/>
  <c r="M1575" i="1"/>
  <c r="N1575" i="1"/>
  <c r="T1575" i="1"/>
  <c r="U1575" i="1"/>
  <c r="Z1575" i="1"/>
  <c r="AA1575" i="1"/>
  <c r="B1576" i="1"/>
  <c r="E1576" i="1"/>
  <c r="K1576" i="1"/>
  <c r="L1576" i="1"/>
  <c r="M1576" i="1"/>
  <c r="N1576" i="1"/>
  <c r="T1576" i="1"/>
  <c r="U1576" i="1"/>
  <c r="Z1576" i="1"/>
  <c r="AA1576" i="1"/>
  <c r="B1577" i="1"/>
  <c r="E1577" i="1"/>
  <c r="K1577" i="1"/>
  <c r="L1577" i="1"/>
  <c r="M1577" i="1"/>
  <c r="N1577" i="1"/>
  <c r="T1577" i="1"/>
  <c r="U1577" i="1"/>
  <c r="Z1577" i="1"/>
  <c r="AA1577" i="1"/>
  <c r="B1578" i="1"/>
  <c r="E1578" i="1"/>
  <c r="K1578" i="1"/>
  <c r="L1578" i="1"/>
  <c r="M1578" i="1"/>
  <c r="N1578" i="1"/>
  <c r="T1578" i="1"/>
  <c r="U1578" i="1"/>
  <c r="Z1578" i="1"/>
  <c r="AA1578" i="1"/>
  <c r="B1579" i="1"/>
  <c r="E1579" i="1"/>
  <c r="K1579" i="1"/>
  <c r="L1579" i="1"/>
  <c r="M1579" i="1"/>
  <c r="N1579" i="1"/>
  <c r="T1579" i="1"/>
  <c r="U1579" i="1"/>
  <c r="Z1579" i="1"/>
  <c r="AA1579" i="1"/>
  <c r="B1580" i="1"/>
  <c r="E1580" i="1"/>
  <c r="K1580" i="1"/>
  <c r="L1580" i="1"/>
  <c r="M1580" i="1"/>
  <c r="N1580" i="1"/>
  <c r="T1580" i="1"/>
  <c r="U1580" i="1"/>
  <c r="Z1580" i="1"/>
  <c r="AA1580" i="1"/>
  <c r="B1581" i="1"/>
  <c r="E1581" i="1"/>
  <c r="K1581" i="1"/>
  <c r="L1581" i="1"/>
  <c r="M1581" i="1"/>
  <c r="N1581" i="1"/>
  <c r="T1581" i="1"/>
  <c r="U1581" i="1"/>
  <c r="Z1581" i="1"/>
  <c r="AA1581" i="1"/>
  <c r="B1582" i="1"/>
  <c r="E1582" i="1"/>
  <c r="K1582" i="1"/>
  <c r="L1582" i="1"/>
  <c r="M1582" i="1"/>
  <c r="N1582" i="1"/>
  <c r="T1582" i="1"/>
  <c r="U1582" i="1"/>
  <c r="Z1582" i="1"/>
  <c r="AA1582" i="1"/>
  <c r="B1583" i="1"/>
  <c r="E1583" i="1"/>
  <c r="K1583" i="1"/>
  <c r="L1583" i="1"/>
  <c r="M1583" i="1"/>
  <c r="N1583" i="1"/>
  <c r="T1583" i="1"/>
  <c r="U1583" i="1"/>
  <c r="Z1583" i="1"/>
  <c r="AA1583" i="1"/>
  <c r="B1584" i="1"/>
  <c r="E1584" i="1"/>
  <c r="K1584" i="1"/>
  <c r="L1584" i="1"/>
  <c r="M1584" i="1"/>
  <c r="N1584" i="1"/>
  <c r="T1584" i="1"/>
  <c r="U1584" i="1"/>
  <c r="Z1584" i="1"/>
  <c r="AA1584" i="1"/>
  <c r="B1585" i="1"/>
  <c r="E1585" i="1"/>
  <c r="K1585" i="1"/>
  <c r="L1585" i="1"/>
  <c r="M1585" i="1"/>
  <c r="N1585" i="1"/>
  <c r="T1585" i="1"/>
  <c r="U1585" i="1"/>
  <c r="Z1585" i="1"/>
  <c r="AA1585" i="1"/>
  <c r="B1586" i="1"/>
  <c r="E1586" i="1"/>
  <c r="K1586" i="1"/>
  <c r="L1586" i="1"/>
  <c r="M1586" i="1"/>
  <c r="N1586" i="1"/>
  <c r="T1586" i="1"/>
  <c r="U1586" i="1"/>
  <c r="Z1586" i="1"/>
  <c r="AA1586" i="1"/>
  <c r="B1587" i="1"/>
  <c r="E1587" i="1"/>
  <c r="K1587" i="1"/>
  <c r="L1587" i="1"/>
  <c r="M1587" i="1"/>
  <c r="N1587" i="1"/>
  <c r="T1587" i="1"/>
  <c r="U1587" i="1"/>
  <c r="Z1587" i="1"/>
  <c r="AA1587" i="1"/>
  <c r="B1588" i="1"/>
  <c r="E1588" i="1"/>
  <c r="K1588" i="1"/>
  <c r="L1588" i="1"/>
  <c r="M1588" i="1"/>
  <c r="N1588" i="1"/>
  <c r="T1588" i="1"/>
  <c r="U1588" i="1"/>
  <c r="Z1588" i="1"/>
  <c r="AA1588" i="1"/>
  <c r="B1589" i="1"/>
  <c r="E1589" i="1"/>
  <c r="K1589" i="1"/>
  <c r="L1589" i="1"/>
  <c r="M1589" i="1"/>
  <c r="N1589" i="1"/>
  <c r="T1589" i="1"/>
  <c r="U1589" i="1"/>
  <c r="Z1589" i="1"/>
  <c r="AA1589" i="1"/>
  <c r="B1590" i="1"/>
  <c r="E1590" i="1"/>
  <c r="K1590" i="1"/>
  <c r="L1590" i="1"/>
  <c r="M1590" i="1"/>
  <c r="N1590" i="1"/>
  <c r="T1590" i="1"/>
  <c r="U1590" i="1"/>
  <c r="Z1590" i="1"/>
  <c r="AA1590" i="1"/>
  <c r="B1591" i="1"/>
  <c r="E1591" i="1"/>
  <c r="K1591" i="1"/>
  <c r="L1591" i="1"/>
  <c r="M1591" i="1"/>
  <c r="N1591" i="1"/>
  <c r="T1591" i="1"/>
  <c r="U1591" i="1"/>
  <c r="Z1591" i="1"/>
  <c r="AA1591" i="1"/>
  <c r="B1592" i="1"/>
  <c r="E1592" i="1"/>
  <c r="K1592" i="1"/>
  <c r="L1592" i="1"/>
  <c r="M1592" i="1"/>
  <c r="N1592" i="1"/>
  <c r="T1592" i="1"/>
  <c r="U1592" i="1"/>
  <c r="Z1592" i="1"/>
  <c r="AA1592" i="1"/>
  <c r="B1593" i="1"/>
  <c r="E1593" i="1"/>
  <c r="K1593" i="1"/>
  <c r="L1593" i="1"/>
  <c r="M1593" i="1"/>
  <c r="N1593" i="1"/>
  <c r="T1593" i="1"/>
  <c r="U1593" i="1"/>
  <c r="Z1593" i="1"/>
  <c r="AA1593" i="1"/>
  <c r="B1594" i="1"/>
  <c r="E1594" i="1"/>
  <c r="K1594" i="1"/>
  <c r="L1594" i="1"/>
  <c r="M1594" i="1"/>
  <c r="N1594" i="1"/>
  <c r="T1594" i="1"/>
  <c r="U1594" i="1"/>
  <c r="Z1594" i="1"/>
  <c r="AA1594" i="1"/>
  <c r="B1595" i="1"/>
  <c r="E1595" i="1"/>
  <c r="K1595" i="1"/>
  <c r="L1595" i="1"/>
  <c r="M1595" i="1"/>
  <c r="N1595" i="1"/>
  <c r="T1595" i="1"/>
  <c r="U1595" i="1"/>
  <c r="Z1595" i="1"/>
  <c r="AA1595" i="1"/>
  <c r="B1596" i="1"/>
  <c r="E1596" i="1"/>
  <c r="K1596" i="1"/>
  <c r="L1596" i="1"/>
  <c r="M1596" i="1"/>
  <c r="N1596" i="1"/>
  <c r="T1596" i="1"/>
  <c r="U1596" i="1"/>
  <c r="Z1596" i="1"/>
  <c r="AA1596" i="1"/>
  <c r="B1597" i="1"/>
  <c r="E1597" i="1"/>
  <c r="K1597" i="1"/>
  <c r="L1597" i="1"/>
  <c r="M1597" i="1"/>
  <c r="N1597" i="1"/>
  <c r="T1597" i="1"/>
  <c r="U1597" i="1"/>
  <c r="Z1597" i="1"/>
  <c r="AA1597" i="1"/>
  <c r="B1598" i="1"/>
  <c r="E1598" i="1"/>
  <c r="K1598" i="1"/>
  <c r="L1598" i="1"/>
  <c r="M1598" i="1"/>
  <c r="N1598" i="1"/>
  <c r="T1598" i="1"/>
  <c r="U1598" i="1"/>
  <c r="Z1598" i="1"/>
  <c r="AA1598" i="1"/>
  <c r="B1599" i="1"/>
  <c r="E1599" i="1"/>
  <c r="K1599" i="1"/>
  <c r="L1599" i="1"/>
  <c r="M1599" i="1"/>
  <c r="N1599" i="1"/>
  <c r="T1599" i="1"/>
  <c r="U1599" i="1"/>
  <c r="Z1599" i="1"/>
  <c r="AA1599" i="1"/>
  <c r="B1600" i="1"/>
  <c r="E1600" i="1"/>
  <c r="K1600" i="1"/>
  <c r="L1600" i="1"/>
  <c r="M1600" i="1"/>
  <c r="N1600" i="1"/>
  <c r="T1600" i="1"/>
  <c r="U1600" i="1"/>
  <c r="Z1600" i="1"/>
  <c r="AA1600" i="1"/>
  <c r="B1601" i="1"/>
  <c r="E1601" i="1"/>
  <c r="K1601" i="1"/>
  <c r="L1601" i="1"/>
  <c r="M1601" i="1"/>
  <c r="N1601" i="1"/>
  <c r="T1601" i="1"/>
  <c r="U1601" i="1"/>
  <c r="Z1601" i="1"/>
  <c r="AA1601" i="1"/>
  <c r="B1602" i="1"/>
  <c r="E1602" i="1"/>
  <c r="K1602" i="1"/>
  <c r="L1602" i="1"/>
  <c r="M1602" i="1"/>
  <c r="N1602" i="1"/>
  <c r="T1602" i="1"/>
  <c r="U1602" i="1"/>
  <c r="Z1602" i="1"/>
  <c r="AA1602" i="1"/>
  <c r="B1603" i="1"/>
  <c r="E1603" i="1"/>
  <c r="K1603" i="1"/>
  <c r="L1603" i="1"/>
  <c r="M1603" i="1"/>
  <c r="N1603" i="1"/>
  <c r="T1603" i="1"/>
  <c r="U1603" i="1"/>
  <c r="Z1603" i="1"/>
  <c r="AA1603" i="1"/>
  <c r="B1604" i="1"/>
  <c r="E1604" i="1"/>
  <c r="K1604" i="1"/>
  <c r="L1604" i="1"/>
  <c r="M1604" i="1"/>
  <c r="N1604" i="1"/>
  <c r="T1604" i="1"/>
  <c r="U1604" i="1"/>
  <c r="Z1604" i="1"/>
  <c r="AA1604" i="1"/>
  <c r="B1605" i="1"/>
  <c r="E1605" i="1"/>
  <c r="K1605" i="1"/>
  <c r="L1605" i="1"/>
  <c r="M1605" i="1"/>
  <c r="N1605" i="1"/>
  <c r="T1605" i="1"/>
  <c r="U1605" i="1"/>
  <c r="Z1605" i="1"/>
  <c r="AA1605" i="1"/>
  <c r="B1606" i="1"/>
  <c r="E1606" i="1"/>
  <c r="K1606" i="1"/>
  <c r="L1606" i="1"/>
  <c r="M1606" i="1"/>
  <c r="N1606" i="1"/>
  <c r="T1606" i="1"/>
  <c r="U1606" i="1"/>
  <c r="Z1606" i="1"/>
  <c r="AA1606" i="1"/>
  <c r="B1607" i="1"/>
  <c r="E1607" i="1"/>
  <c r="K1607" i="1"/>
  <c r="L1607" i="1"/>
  <c r="M1607" i="1"/>
  <c r="N1607" i="1"/>
  <c r="T1607" i="1"/>
  <c r="U1607" i="1"/>
  <c r="Z1607" i="1"/>
  <c r="AA1607" i="1"/>
  <c r="B1608" i="1"/>
  <c r="E1608" i="1"/>
  <c r="K1608" i="1"/>
  <c r="L1608" i="1"/>
  <c r="M1608" i="1"/>
  <c r="N1608" i="1"/>
  <c r="T1608" i="1"/>
  <c r="U1608" i="1"/>
  <c r="Z1608" i="1"/>
  <c r="AA1608" i="1"/>
  <c r="B1609" i="1"/>
  <c r="E1609" i="1"/>
  <c r="K1609" i="1"/>
  <c r="L1609" i="1"/>
  <c r="M1609" i="1"/>
  <c r="N1609" i="1"/>
  <c r="T1609" i="1"/>
  <c r="U1609" i="1"/>
  <c r="Z1609" i="1"/>
  <c r="AA1609" i="1"/>
  <c r="B1610" i="1"/>
  <c r="E1610" i="1"/>
  <c r="K1610" i="1"/>
  <c r="L1610" i="1"/>
  <c r="M1610" i="1"/>
  <c r="N1610" i="1"/>
  <c r="T1610" i="1"/>
  <c r="U1610" i="1"/>
  <c r="Z1610" i="1"/>
  <c r="AA1610" i="1"/>
  <c r="B1611" i="1"/>
  <c r="E1611" i="1"/>
  <c r="K1611" i="1"/>
  <c r="L1611" i="1"/>
  <c r="M1611" i="1"/>
  <c r="N1611" i="1"/>
  <c r="T1611" i="1"/>
  <c r="U1611" i="1"/>
  <c r="Z1611" i="1"/>
  <c r="AA1611" i="1"/>
  <c r="B1612" i="1"/>
  <c r="E1612" i="1"/>
  <c r="K1612" i="1"/>
  <c r="L1612" i="1"/>
  <c r="M1612" i="1"/>
  <c r="N1612" i="1"/>
  <c r="T1612" i="1"/>
  <c r="U1612" i="1"/>
  <c r="Z1612" i="1"/>
  <c r="AA1612" i="1"/>
  <c r="B1613" i="1"/>
  <c r="E1613" i="1"/>
  <c r="K1613" i="1"/>
  <c r="L1613" i="1"/>
  <c r="M1613" i="1"/>
  <c r="N1613" i="1"/>
  <c r="T1613" i="1"/>
  <c r="U1613" i="1"/>
  <c r="Z1613" i="1"/>
  <c r="AA1613" i="1"/>
  <c r="B1614" i="1"/>
  <c r="E1614" i="1"/>
  <c r="K1614" i="1"/>
  <c r="L1614" i="1"/>
  <c r="M1614" i="1"/>
  <c r="N1614" i="1"/>
  <c r="T1614" i="1"/>
  <c r="U1614" i="1"/>
  <c r="Z1614" i="1"/>
  <c r="AA1614" i="1"/>
  <c r="B1615" i="1"/>
  <c r="E1615" i="1"/>
  <c r="K1615" i="1"/>
  <c r="L1615" i="1"/>
  <c r="M1615" i="1"/>
  <c r="N1615" i="1"/>
  <c r="T1615" i="1"/>
  <c r="U1615" i="1"/>
  <c r="Z1615" i="1"/>
  <c r="AA1615" i="1"/>
  <c r="B1616" i="1"/>
  <c r="E1616" i="1"/>
  <c r="K1616" i="1"/>
  <c r="L1616" i="1"/>
  <c r="M1616" i="1"/>
  <c r="N1616" i="1"/>
  <c r="T1616" i="1"/>
  <c r="U1616" i="1"/>
  <c r="Z1616" i="1"/>
  <c r="AA1616" i="1"/>
  <c r="B1617" i="1"/>
  <c r="E1617" i="1"/>
  <c r="K1617" i="1"/>
  <c r="L1617" i="1"/>
  <c r="M1617" i="1"/>
  <c r="N1617" i="1"/>
  <c r="T1617" i="1"/>
  <c r="U1617" i="1"/>
  <c r="Z1617" i="1"/>
  <c r="AA1617" i="1"/>
  <c r="B1618" i="1"/>
  <c r="E1618" i="1"/>
  <c r="K1618" i="1"/>
  <c r="L1618" i="1"/>
  <c r="M1618" i="1"/>
  <c r="N1618" i="1"/>
  <c r="T1618" i="1"/>
  <c r="U1618" i="1"/>
  <c r="Z1618" i="1"/>
  <c r="AA1618" i="1"/>
  <c r="B1619" i="1"/>
  <c r="E1619" i="1"/>
  <c r="K1619" i="1"/>
  <c r="L1619" i="1"/>
  <c r="M1619" i="1"/>
  <c r="N1619" i="1"/>
  <c r="T1619" i="1"/>
  <c r="U1619" i="1"/>
  <c r="Z1619" i="1"/>
  <c r="AA1619" i="1"/>
  <c r="B1620" i="1"/>
  <c r="E1620" i="1"/>
  <c r="K1620" i="1"/>
  <c r="L1620" i="1"/>
  <c r="M1620" i="1"/>
  <c r="N1620" i="1"/>
  <c r="T1620" i="1"/>
  <c r="U1620" i="1"/>
  <c r="Z1620" i="1"/>
  <c r="AA1620" i="1"/>
  <c r="B1621" i="1"/>
  <c r="E1621" i="1"/>
  <c r="K1621" i="1"/>
  <c r="L1621" i="1"/>
  <c r="M1621" i="1"/>
  <c r="N1621" i="1"/>
  <c r="T1621" i="1"/>
  <c r="U1621" i="1"/>
  <c r="Z1621" i="1"/>
  <c r="AA1621" i="1"/>
  <c r="B1622" i="1"/>
  <c r="E1622" i="1"/>
  <c r="K1622" i="1"/>
  <c r="L1622" i="1"/>
  <c r="M1622" i="1"/>
  <c r="N1622" i="1"/>
  <c r="T1622" i="1"/>
  <c r="U1622" i="1"/>
  <c r="Z1622" i="1"/>
  <c r="AA1622" i="1"/>
  <c r="B1623" i="1"/>
  <c r="E1623" i="1"/>
  <c r="K1623" i="1"/>
  <c r="L1623" i="1"/>
  <c r="M1623" i="1"/>
  <c r="N1623" i="1"/>
  <c r="T1623" i="1"/>
  <c r="U1623" i="1"/>
  <c r="Z1623" i="1"/>
  <c r="AA1623" i="1"/>
  <c r="B1624" i="1"/>
  <c r="E1624" i="1"/>
  <c r="K1624" i="1"/>
  <c r="L1624" i="1"/>
  <c r="M1624" i="1"/>
  <c r="N1624" i="1"/>
  <c r="T1624" i="1"/>
  <c r="U1624" i="1"/>
  <c r="Z1624" i="1"/>
  <c r="AA1624" i="1"/>
  <c r="B1625" i="1"/>
  <c r="E1625" i="1"/>
  <c r="K1625" i="1"/>
  <c r="L1625" i="1"/>
  <c r="M1625" i="1"/>
  <c r="N1625" i="1"/>
  <c r="T1625" i="1"/>
  <c r="U1625" i="1"/>
  <c r="Z1625" i="1"/>
  <c r="AA1625" i="1"/>
  <c r="B1626" i="1"/>
  <c r="E1626" i="1"/>
  <c r="K1626" i="1"/>
  <c r="L1626" i="1"/>
  <c r="M1626" i="1"/>
  <c r="N1626" i="1"/>
  <c r="T1626" i="1"/>
  <c r="U1626" i="1"/>
  <c r="Z1626" i="1"/>
  <c r="AA1626" i="1"/>
  <c r="B1627" i="1"/>
  <c r="E1627" i="1"/>
  <c r="K1627" i="1"/>
  <c r="L1627" i="1"/>
  <c r="M1627" i="1"/>
  <c r="N1627" i="1"/>
  <c r="T1627" i="1"/>
  <c r="U1627" i="1"/>
  <c r="Z1627" i="1"/>
  <c r="AA1627" i="1"/>
  <c r="B1628" i="1"/>
  <c r="E1628" i="1"/>
  <c r="K1628" i="1"/>
  <c r="L1628" i="1"/>
  <c r="M1628" i="1"/>
  <c r="N1628" i="1"/>
  <c r="T1628" i="1"/>
  <c r="U1628" i="1"/>
  <c r="Z1628" i="1"/>
  <c r="AA1628" i="1"/>
  <c r="B1629" i="1"/>
  <c r="E1629" i="1"/>
  <c r="K1629" i="1"/>
  <c r="L1629" i="1"/>
  <c r="M1629" i="1"/>
  <c r="N1629" i="1"/>
  <c r="T1629" i="1"/>
  <c r="U1629" i="1"/>
  <c r="Z1629" i="1"/>
  <c r="AA1629" i="1"/>
  <c r="B1630" i="1"/>
  <c r="E1630" i="1"/>
  <c r="K1630" i="1"/>
  <c r="L1630" i="1"/>
  <c r="M1630" i="1"/>
  <c r="N1630" i="1"/>
  <c r="T1630" i="1"/>
  <c r="U1630" i="1"/>
  <c r="Z1630" i="1"/>
  <c r="AA1630" i="1"/>
  <c r="B1631" i="1"/>
  <c r="E1631" i="1"/>
  <c r="K1631" i="1"/>
  <c r="L1631" i="1"/>
  <c r="M1631" i="1"/>
  <c r="N1631" i="1"/>
  <c r="T1631" i="1"/>
  <c r="U1631" i="1"/>
  <c r="Z1631" i="1"/>
  <c r="AA1631" i="1"/>
  <c r="B1632" i="1"/>
  <c r="E1632" i="1"/>
  <c r="K1632" i="1"/>
  <c r="L1632" i="1"/>
  <c r="M1632" i="1"/>
  <c r="N1632" i="1"/>
  <c r="T1632" i="1"/>
  <c r="U1632" i="1"/>
  <c r="Z1632" i="1"/>
  <c r="AA1632" i="1"/>
  <c r="B1633" i="1"/>
  <c r="E1633" i="1"/>
  <c r="K1633" i="1"/>
  <c r="L1633" i="1"/>
  <c r="M1633" i="1"/>
  <c r="N1633" i="1"/>
  <c r="T1633" i="1"/>
  <c r="U1633" i="1"/>
  <c r="Z1633" i="1"/>
  <c r="AA1633" i="1"/>
  <c r="B1634" i="1"/>
  <c r="E1634" i="1"/>
  <c r="K1634" i="1"/>
  <c r="L1634" i="1"/>
  <c r="M1634" i="1"/>
  <c r="N1634" i="1"/>
  <c r="T1634" i="1"/>
  <c r="U1634" i="1"/>
  <c r="Z1634" i="1"/>
  <c r="AA1634" i="1"/>
  <c r="B1635" i="1"/>
  <c r="E1635" i="1"/>
  <c r="K1635" i="1"/>
  <c r="L1635" i="1"/>
  <c r="M1635" i="1"/>
  <c r="N1635" i="1"/>
  <c r="T1635" i="1"/>
  <c r="U1635" i="1"/>
  <c r="Z1635" i="1"/>
  <c r="AA1635" i="1"/>
  <c r="B1636" i="1"/>
  <c r="E1636" i="1"/>
  <c r="K1636" i="1"/>
  <c r="L1636" i="1"/>
  <c r="M1636" i="1"/>
  <c r="N1636" i="1"/>
  <c r="T1636" i="1"/>
  <c r="U1636" i="1"/>
  <c r="Z1636" i="1"/>
  <c r="AA1636" i="1"/>
  <c r="B1637" i="1"/>
  <c r="E1637" i="1"/>
  <c r="K1637" i="1"/>
  <c r="L1637" i="1"/>
  <c r="M1637" i="1"/>
  <c r="N1637" i="1"/>
  <c r="T1637" i="1"/>
  <c r="U1637" i="1"/>
  <c r="Z1637" i="1"/>
  <c r="AA1637" i="1"/>
  <c r="B1638" i="1"/>
  <c r="E1638" i="1"/>
  <c r="K1638" i="1"/>
  <c r="L1638" i="1"/>
  <c r="M1638" i="1"/>
  <c r="N1638" i="1"/>
  <c r="T1638" i="1"/>
  <c r="U1638" i="1"/>
  <c r="Z1638" i="1"/>
  <c r="AA1638" i="1"/>
  <c r="B1639" i="1"/>
  <c r="E1639" i="1"/>
  <c r="K1639" i="1"/>
  <c r="L1639" i="1"/>
  <c r="M1639" i="1"/>
  <c r="N1639" i="1"/>
  <c r="T1639" i="1"/>
  <c r="U1639" i="1"/>
  <c r="Z1639" i="1"/>
  <c r="AA1639" i="1"/>
  <c r="B1640" i="1"/>
  <c r="E1640" i="1"/>
  <c r="K1640" i="1"/>
  <c r="L1640" i="1"/>
  <c r="M1640" i="1"/>
  <c r="N1640" i="1"/>
  <c r="T1640" i="1"/>
  <c r="U1640" i="1"/>
  <c r="Z1640" i="1"/>
  <c r="AA1640" i="1"/>
  <c r="B1641" i="1"/>
  <c r="E1641" i="1"/>
  <c r="K1641" i="1"/>
  <c r="L1641" i="1"/>
  <c r="M1641" i="1"/>
  <c r="N1641" i="1"/>
  <c r="T1641" i="1"/>
  <c r="U1641" i="1"/>
  <c r="Z1641" i="1"/>
  <c r="AA1641" i="1"/>
  <c r="B1642" i="1"/>
  <c r="E1642" i="1"/>
  <c r="K1642" i="1"/>
  <c r="L1642" i="1"/>
  <c r="M1642" i="1"/>
  <c r="N1642" i="1"/>
  <c r="T1642" i="1"/>
  <c r="U1642" i="1"/>
  <c r="Z1642" i="1"/>
  <c r="AA1642" i="1"/>
  <c r="B1643" i="1"/>
  <c r="E1643" i="1"/>
  <c r="K1643" i="1"/>
  <c r="L1643" i="1"/>
  <c r="M1643" i="1"/>
  <c r="N1643" i="1"/>
  <c r="T1643" i="1"/>
  <c r="U1643" i="1"/>
  <c r="Z1643" i="1"/>
  <c r="AA1643" i="1"/>
  <c r="B1644" i="1"/>
  <c r="E1644" i="1"/>
  <c r="K1644" i="1"/>
  <c r="L1644" i="1"/>
  <c r="M1644" i="1"/>
  <c r="N1644" i="1"/>
  <c r="T1644" i="1"/>
  <c r="U1644" i="1"/>
  <c r="Z1644" i="1"/>
  <c r="AA1644" i="1"/>
  <c r="B1645" i="1"/>
  <c r="E1645" i="1"/>
  <c r="K1645" i="1"/>
  <c r="L1645" i="1"/>
  <c r="M1645" i="1"/>
  <c r="N1645" i="1"/>
  <c r="T1645" i="1"/>
  <c r="U1645" i="1"/>
  <c r="Z1645" i="1"/>
  <c r="AA1645" i="1"/>
  <c r="B1646" i="1"/>
  <c r="E1646" i="1"/>
  <c r="K1646" i="1"/>
  <c r="L1646" i="1"/>
  <c r="M1646" i="1"/>
  <c r="N1646" i="1"/>
  <c r="T1646" i="1"/>
  <c r="U1646" i="1"/>
  <c r="Z1646" i="1"/>
  <c r="AA1646" i="1"/>
  <c r="B1647" i="1"/>
  <c r="E1647" i="1"/>
  <c r="K1647" i="1"/>
  <c r="L1647" i="1"/>
  <c r="M1647" i="1"/>
  <c r="N1647" i="1"/>
  <c r="T1647" i="1"/>
  <c r="U1647" i="1"/>
  <c r="Z1647" i="1"/>
  <c r="AA1647" i="1"/>
  <c r="B1648" i="1"/>
  <c r="E1648" i="1"/>
  <c r="K1648" i="1"/>
  <c r="L1648" i="1"/>
  <c r="M1648" i="1"/>
  <c r="N1648" i="1"/>
  <c r="T1648" i="1"/>
  <c r="U1648" i="1"/>
  <c r="Z1648" i="1"/>
  <c r="AA1648" i="1"/>
  <c r="B1649" i="1"/>
  <c r="E1649" i="1"/>
  <c r="K1649" i="1"/>
  <c r="L1649" i="1"/>
  <c r="M1649" i="1"/>
  <c r="N1649" i="1"/>
  <c r="T1649" i="1"/>
  <c r="U1649" i="1"/>
  <c r="Z1649" i="1"/>
  <c r="AA1649" i="1"/>
  <c r="B1650" i="1"/>
  <c r="E1650" i="1"/>
  <c r="K1650" i="1"/>
  <c r="L1650" i="1"/>
  <c r="M1650" i="1"/>
  <c r="N1650" i="1"/>
  <c r="T1650" i="1"/>
  <c r="U1650" i="1"/>
  <c r="Z1650" i="1"/>
  <c r="AA1650" i="1"/>
  <c r="B1651" i="1"/>
  <c r="E1651" i="1"/>
  <c r="K1651" i="1"/>
  <c r="L1651" i="1"/>
  <c r="M1651" i="1"/>
  <c r="N1651" i="1"/>
  <c r="T1651" i="1"/>
  <c r="U1651" i="1"/>
  <c r="Z1651" i="1"/>
  <c r="AA1651" i="1"/>
  <c r="B1652" i="1"/>
  <c r="E1652" i="1"/>
  <c r="K1652" i="1"/>
  <c r="L1652" i="1"/>
  <c r="M1652" i="1"/>
  <c r="N1652" i="1"/>
  <c r="T1652" i="1"/>
  <c r="U1652" i="1"/>
  <c r="Z1652" i="1"/>
  <c r="AA1652" i="1"/>
  <c r="B1653" i="1"/>
  <c r="E1653" i="1"/>
  <c r="K1653" i="1"/>
  <c r="L1653" i="1"/>
  <c r="M1653" i="1"/>
  <c r="N1653" i="1"/>
  <c r="T1653" i="1"/>
  <c r="U1653" i="1"/>
  <c r="Z1653" i="1"/>
  <c r="AA1653" i="1"/>
  <c r="B1654" i="1"/>
  <c r="E1654" i="1"/>
  <c r="K1654" i="1"/>
  <c r="L1654" i="1"/>
  <c r="M1654" i="1"/>
  <c r="N1654" i="1"/>
  <c r="T1654" i="1"/>
  <c r="U1654" i="1"/>
  <c r="Z1654" i="1"/>
  <c r="AA1654" i="1"/>
  <c r="B1655" i="1"/>
  <c r="E1655" i="1"/>
  <c r="K1655" i="1"/>
  <c r="L1655" i="1"/>
  <c r="M1655" i="1"/>
  <c r="N1655" i="1"/>
  <c r="T1655" i="1"/>
  <c r="U1655" i="1"/>
  <c r="Z1655" i="1"/>
  <c r="AA1655" i="1"/>
  <c r="B1656" i="1"/>
  <c r="E1656" i="1"/>
  <c r="K1656" i="1"/>
  <c r="L1656" i="1"/>
  <c r="M1656" i="1"/>
  <c r="N1656" i="1"/>
  <c r="T1656" i="1"/>
  <c r="U1656" i="1"/>
  <c r="Z1656" i="1"/>
  <c r="AA1656" i="1"/>
  <c r="B1657" i="1"/>
  <c r="E1657" i="1"/>
  <c r="K1657" i="1"/>
  <c r="L1657" i="1"/>
  <c r="M1657" i="1"/>
  <c r="N1657" i="1"/>
  <c r="T1657" i="1"/>
  <c r="U1657" i="1"/>
  <c r="Z1657" i="1"/>
  <c r="AA1657" i="1"/>
  <c r="B1658" i="1"/>
  <c r="E1658" i="1"/>
  <c r="K1658" i="1"/>
  <c r="L1658" i="1"/>
  <c r="M1658" i="1"/>
  <c r="N1658" i="1"/>
  <c r="T1658" i="1"/>
  <c r="U1658" i="1"/>
  <c r="Z1658" i="1"/>
  <c r="AA1658" i="1"/>
  <c r="B1659" i="1"/>
  <c r="E1659" i="1"/>
  <c r="K1659" i="1"/>
  <c r="L1659" i="1"/>
  <c r="M1659" i="1"/>
  <c r="N1659" i="1"/>
  <c r="T1659" i="1"/>
  <c r="U1659" i="1"/>
  <c r="Z1659" i="1"/>
  <c r="AA1659" i="1"/>
  <c r="B1660" i="1"/>
  <c r="E1660" i="1"/>
  <c r="K1660" i="1"/>
  <c r="L1660" i="1"/>
  <c r="M1660" i="1"/>
  <c r="N1660" i="1"/>
  <c r="T1660" i="1"/>
  <c r="U1660" i="1"/>
  <c r="Z1660" i="1"/>
  <c r="AA1660" i="1"/>
  <c r="B1661" i="1"/>
  <c r="E1661" i="1"/>
  <c r="K1661" i="1"/>
  <c r="L1661" i="1"/>
  <c r="M1661" i="1"/>
  <c r="N1661" i="1"/>
  <c r="T1661" i="1"/>
  <c r="U1661" i="1"/>
  <c r="Z1661" i="1"/>
  <c r="AA1661" i="1"/>
  <c r="B1662" i="1"/>
  <c r="E1662" i="1"/>
  <c r="K1662" i="1"/>
  <c r="L1662" i="1"/>
  <c r="M1662" i="1"/>
  <c r="N1662" i="1"/>
  <c r="T1662" i="1"/>
  <c r="U1662" i="1"/>
  <c r="Z1662" i="1"/>
  <c r="AA1662" i="1"/>
  <c r="B1663" i="1"/>
  <c r="E1663" i="1"/>
  <c r="K1663" i="1"/>
  <c r="L1663" i="1"/>
  <c r="M1663" i="1"/>
  <c r="N1663" i="1"/>
  <c r="T1663" i="1"/>
  <c r="U1663" i="1"/>
  <c r="Z1663" i="1"/>
  <c r="AA1663" i="1"/>
  <c r="B1664" i="1"/>
  <c r="E1664" i="1"/>
  <c r="K1664" i="1"/>
  <c r="L1664" i="1"/>
  <c r="M1664" i="1"/>
  <c r="N1664" i="1"/>
  <c r="T1664" i="1"/>
  <c r="U1664" i="1"/>
  <c r="Z1664" i="1"/>
  <c r="AA1664" i="1"/>
  <c r="B1665" i="1"/>
  <c r="E1665" i="1"/>
  <c r="K1665" i="1"/>
  <c r="L1665" i="1"/>
  <c r="M1665" i="1"/>
  <c r="N1665" i="1"/>
  <c r="T1665" i="1"/>
  <c r="U1665" i="1"/>
  <c r="Z1665" i="1"/>
  <c r="AA1665" i="1"/>
  <c r="B1666" i="1"/>
  <c r="E1666" i="1"/>
  <c r="K1666" i="1"/>
  <c r="L1666" i="1"/>
  <c r="M1666" i="1"/>
  <c r="N1666" i="1"/>
  <c r="T1666" i="1"/>
  <c r="U1666" i="1"/>
  <c r="Z1666" i="1"/>
  <c r="AA1666" i="1"/>
  <c r="B1667" i="1"/>
  <c r="E1667" i="1"/>
  <c r="K1667" i="1"/>
  <c r="L1667" i="1"/>
  <c r="M1667" i="1"/>
  <c r="N1667" i="1"/>
  <c r="T1667" i="1"/>
  <c r="U1667" i="1"/>
  <c r="Z1667" i="1"/>
  <c r="AA1667" i="1"/>
  <c r="B1668" i="1"/>
  <c r="E1668" i="1"/>
  <c r="K1668" i="1"/>
  <c r="L1668" i="1"/>
  <c r="M1668" i="1"/>
  <c r="N1668" i="1"/>
  <c r="T1668" i="1"/>
  <c r="U1668" i="1"/>
  <c r="Z1668" i="1"/>
  <c r="AA1668" i="1"/>
  <c r="B1669" i="1"/>
  <c r="E1669" i="1"/>
  <c r="K1669" i="1"/>
  <c r="L1669" i="1"/>
  <c r="M1669" i="1"/>
  <c r="N1669" i="1"/>
  <c r="T1669" i="1"/>
  <c r="U1669" i="1"/>
  <c r="Z1669" i="1"/>
  <c r="AA1669" i="1"/>
  <c r="B1670" i="1"/>
  <c r="E1670" i="1"/>
  <c r="K1670" i="1"/>
  <c r="L1670" i="1"/>
  <c r="M1670" i="1"/>
  <c r="N1670" i="1"/>
  <c r="T1670" i="1"/>
  <c r="U1670" i="1"/>
  <c r="Z1670" i="1"/>
  <c r="AA1670" i="1"/>
  <c r="B1671" i="1"/>
  <c r="E1671" i="1"/>
  <c r="K1671" i="1"/>
  <c r="L1671" i="1"/>
  <c r="M1671" i="1"/>
  <c r="N1671" i="1"/>
  <c r="T1671" i="1"/>
  <c r="U1671" i="1"/>
  <c r="Z1671" i="1"/>
  <c r="AA1671" i="1"/>
  <c r="B1672" i="1"/>
  <c r="E1672" i="1"/>
  <c r="K1672" i="1"/>
  <c r="L1672" i="1"/>
  <c r="M1672" i="1"/>
  <c r="N1672" i="1"/>
  <c r="T1672" i="1"/>
  <c r="U1672" i="1"/>
  <c r="Z1672" i="1"/>
  <c r="AA1672" i="1"/>
  <c r="B1673" i="1"/>
  <c r="E1673" i="1"/>
  <c r="K1673" i="1"/>
  <c r="L1673" i="1"/>
  <c r="M1673" i="1"/>
  <c r="N1673" i="1"/>
  <c r="T1673" i="1"/>
  <c r="U1673" i="1"/>
  <c r="Z1673" i="1"/>
  <c r="AA1673" i="1"/>
  <c r="B1674" i="1"/>
  <c r="E1674" i="1"/>
  <c r="K1674" i="1"/>
  <c r="L1674" i="1"/>
  <c r="M1674" i="1"/>
  <c r="N1674" i="1"/>
  <c r="T1674" i="1"/>
  <c r="U1674" i="1"/>
  <c r="Z1674" i="1"/>
  <c r="AA1674" i="1"/>
  <c r="B1675" i="1"/>
  <c r="E1675" i="1"/>
  <c r="K1675" i="1"/>
  <c r="L1675" i="1"/>
  <c r="M1675" i="1"/>
  <c r="N1675" i="1"/>
  <c r="T1675" i="1"/>
  <c r="U1675" i="1"/>
  <c r="Z1675" i="1"/>
  <c r="AA1675" i="1"/>
  <c r="B1676" i="1"/>
  <c r="E1676" i="1"/>
  <c r="K1676" i="1"/>
  <c r="L1676" i="1"/>
  <c r="M1676" i="1"/>
  <c r="N1676" i="1"/>
  <c r="T1676" i="1"/>
  <c r="U1676" i="1"/>
  <c r="Z1676" i="1"/>
  <c r="AA1676" i="1"/>
  <c r="B1677" i="1"/>
  <c r="E1677" i="1"/>
  <c r="K1677" i="1"/>
  <c r="L1677" i="1"/>
  <c r="M1677" i="1"/>
  <c r="N1677" i="1"/>
  <c r="T1677" i="1"/>
  <c r="U1677" i="1"/>
  <c r="Z1677" i="1"/>
  <c r="AA1677" i="1"/>
  <c r="B1678" i="1"/>
  <c r="E1678" i="1"/>
  <c r="K1678" i="1"/>
  <c r="L1678" i="1"/>
  <c r="M1678" i="1"/>
  <c r="N1678" i="1"/>
  <c r="T1678" i="1"/>
  <c r="U1678" i="1"/>
  <c r="Z1678" i="1"/>
  <c r="AA1678" i="1"/>
  <c r="B1679" i="1"/>
  <c r="E1679" i="1"/>
  <c r="K1679" i="1"/>
  <c r="L1679" i="1"/>
  <c r="M1679" i="1"/>
  <c r="N1679" i="1"/>
  <c r="T1679" i="1"/>
  <c r="U1679" i="1"/>
  <c r="Z1679" i="1"/>
  <c r="AA1679" i="1"/>
  <c r="B1680" i="1"/>
  <c r="E1680" i="1"/>
  <c r="K1680" i="1"/>
  <c r="L1680" i="1"/>
  <c r="M1680" i="1"/>
  <c r="N1680" i="1"/>
  <c r="T1680" i="1"/>
  <c r="U1680" i="1"/>
  <c r="Z1680" i="1"/>
  <c r="AA1680" i="1"/>
  <c r="B1681" i="1"/>
  <c r="E1681" i="1"/>
  <c r="K1681" i="1"/>
  <c r="L1681" i="1"/>
  <c r="M1681" i="1"/>
  <c r="N1681" i="1"/>
  <c r="T1681" i="1"/>
  <c r="U1681" i="1"/>
  <c r="Z1681" i="1"/>
  <c r="AA1681" i="1"/>
  <c r="B1682" i="1"/>
  <c r="E1682" i="1"/>
  <c r="K1682" i="1"/>
  <c r="L1682" i="1"/>
  <c r="M1682" i="1"/>
  <c r="N1682" i="1"/>
  <c r="T1682" i="1"/>
  <c r="U1682" i="1"/>
  <c r="Z1682" i="1"/>
  <c r="AA1682" i="1"/>
  <c r="B1683" i="1"/>
  <c r="E1683" i="1"/>
  <c r="K1683" i="1"/>
  <c r="L1683" i="1"/>
  <c r="M1683" i="1"/>
  <c r="N1683" i="1"/>
  <c r="T1683" i="1"/>
  <c r="U1683" i="1"/>
  <c r="Z1683" i="1"/>
  <c r="AA1683" i="1"/>
  <c r="B1684" i="1"/>
  <c r="E1684" i="1"/>
  <c r="K1684" i="1"/>
  <c r="L1684" i="1"/>
  <c r="M1684" i="1"/>
  <c r="N1684" i="1"/>
  <c r="T1684" i="1"/>
  <c r="U1684" i="1"/>
  <c r="Z1684" i="1"/>
  <c r="AA1684" i="1"/>
  <c r="B1685" i="1"/>
  <c r="E1685" i="1"/>
  <c r="K1685" i="1"/>
  <c r="L1685" i="1"/>
  <c r="M1685" i="1"/>
  <c r="N1685" i="1"/>
  <c r="T1685" i="1"/>
  <c r="U1685" i="1"/>
  <c r="Z1685" i="1"/>
  <c r="AA1685" i="1"/>
  <c r="B1686" i="1"/>
  <c r="E1686" i="1"/>
  <c r="K1686" i="1"/>
  <c r="L1686" i="1"/>
  <c r="M1686" i="1"/>
  <c r="N1686" i="1"/>
  <c r="T1686" i="1"/>
  <c r="U1686" i="1"/>
  <c r="Z1686" i="1"/>
  <c r="AA1686" i="1"/>
  <c r="B1687" i="1"/>
  <c r="E1687" i="1"/>
  <c r="K1687" i="1"/>
  <c r="L1687" i="1"/>
  <c r="M1687" i="1"/>
  <c r="N1687" i="1"/>
  <c r="T1687" i="1"/>
  <c r="U1687" i="1"/>
  <c r="Z1687" i="1"/>
  <c r="AA1687" i="1"/>
  <c r="B1688" i="1"/>
  <c r="E1688" i="1"/>
  <c r="K1688" i="1"/>
  <c r="L1688" i="1"/>
  <c r="M1688" i="1"/>
  <c r="N1688" i="1"/>
  <c r="T1688" i="1"/>
  <c r="U1688" i="1"/>
  <c r="Z1688" i="1"/>
  <c r="AA1688" i="1"/>
  <c r="B1689" i="1"/>
  <c r="E1689" i="1"/>
  <c r="K1689" i="1"/>
  <c r="L1689" i="1"/>
  <c r="M1689" i="1"/>
  <c r="N1689" i="1"/>
  <c r="T1689" i="1"/>
  <c r="U1689" i="1"/>
  <c r="Z1689" i="1"/>
  <c r="AA1689" i="1"/>
  <c r="B1690" i="1"/>
  <c r="E1690" i="1"/>
  <c r="K1690" i="1"/>
  <c r="L1690" i="1"/>
  <c r="M1690" i="1"/>
  <c r="N1690" i="1"/>
  <c r="T1690" i="1"/>
  <c r="U1690" i="1"/>
  <c r="Z1690" i="1"/>
  <c r="AA1690" i="1"/>
  <c r="B1691" i="1"/>
  <c r="E1691" i="1"/>
  <c r="K1691" i="1"/>
  <c r="L1691" i="1"/>
  <c r="M1691" i="1"/>
  <c r="N1691" i="1"/>
  <c r="T1691" i="1"/>
  <c r="U1691" i="1"/>
  <c r="Z1691" i="1"/>
  <c r="AA1691" i="1"/>
  <c r="B1692" i="1"/>
  <c r="E1692" i="1"/>
  <c r="K1692" i="1"/>
  <c r="L1692" i="1"/>
  <c r="M1692" i="1"/>
  <c r="N1692" i="1"/>
  <c r="T1692" i="1"/>
  <c r="U1692" i="1"/>
  <c r="Z1692" i="1"/>
  <c r="AA1692" i="1"/>
  <c r="B1693" i="1"/>
  <c r="E1693" i="1"/>
  <c r="K1693" i="1"/>
  <c r="L1693" i="1"/>
  <c r="M1693" i="1"/>
  <c r="N1693" i="1"/>
  <c r="T1693" i="1"/>
  <c r="U1693" i="1"/>
  <c r="Z1693" i="1"/>
  <c r="AA1693" i="1"/>
  <c r="B1694" i="1"/>
  <c r="E1694" i="1"/>
  <c r="K1694" i="1"/>
  <c r="L1694" i="1"/>
  <c r="M1694" i="1"/>
  <c r="N1694" i="1"/>
  <c r="T1694" i="1"/>
  <c r="U1694" i="1"/>
  <c r="Z1694" i="1"/>
  <c r="AA1694" i="1"/>
  <c r="B1695" i="1"/>
  <c r="E1695" i="1"/>
  <c r="K1695" i="1"/>
  <c r="L1695" i="1"/>
  <c r="M1695" i="1"/>
  <c r="N1695" i="1"/>
  <c r="T1695" i="1"/>
  <c r="U1695" i="1"/>
  <c r="Z1695" i="1"/>
  <c r="AA1695" i="1"/>
  <c r="B1696" i="1"/>
  <c r="E1696" i="1"/>
  <c r="K1696" i="1"/>
  <c r="L1696" i="1"/>
  <c r="M1696" i="1"/>
  <c r="N1696" i="1"/>
  <c r="T1696" i="1"/>
  <c r="U1696" i="1"/>
  <c r="Z1696" i="1"/>
  <c r="AA1696" i="1"/>
  <c r="B1697" i="1"/>
  <c r="E1697" i="1"/>
  <c r="K1697" i="1"/>
  <c r="L1697" i="1"/>
  <c r="M1697" i="1"/>
  <c r="N1697" i="1"/>
  <c r="T1697" i="1"/>
  <c r="U1697" i="1"/>
  <c r="Z1697" i="1"/>
  <c r="AA1697" i="1"/>
  <c r="B1698" i="1"/>
  <c r="E1698" i="1"/>
  <c r="K1698" i="1"/>
  <c r="L1698" i="1"/>
  <c r="M1698" i="1"/>
  <c r="N1698" i="1"/>
  <c r="T1698" i="1"/>
  <c r="U1698" i="1"/>
  <c r="Z1698" i="1"/>
  <c r="AA1698" i="1"/>
  <c r="B1699" i="1"/>
  <c r="E1699" i="1"/>
  <c r="K1699" i="1"/>
  <c r="L1699" i="1"/>
  <c r="M1699" i="1"/>
  <c r="N1699" i="1"/>
  <c r="T1699" i="1"/>
  <c r="U1699" i="1"/>
  <c r="Z1699" i="1"/>
  <c r="AA1699" i="1"/>
  <c r="B1700" i="1"/>
  <c r="E1700" i="1"/>
  <c r="K1700" i="1"/>
  <c r="L1700" i="1"/>
  <c r="M1700" i="1"/>
  <c r="N1700" i="1"/>
  <c r="T1700" i="1"/>
  <c r="U1700" i="1"/>
  <c r="Z1700" i="1"/>
  <c r="AA1700" i="1"/>
  <c r="B1701" i="1"/>
  <c r="E1701" i="1"/>
  <c r="K1701" i="1"/>
  <c r="L1701" i="1"/>
  <c r="M1701" i="1"/>
  <c r="N1701" i="1"/>
  <c r="T1701" i="1"/>
  <c r="U1701" i="1"/>
  <c r="Z1701" i="1"/>
  <c r="AA1701" i="1"/>
  <c r="B1702" i="1"/>
  <c r="E1702" i="1"/>
  <c r="K1702" i="1"/>
  <c r="L1702" i="1"/>
  <c r="M1702" i="1"/>
  <c r="N1702" i="1"/>
  <c r="T1702" i="1"/>
  <c r="U1702" i="1"/>
  <c r="Z1702" i="1"/>
  <c r="AA1702" i="1"/>
  <c r="B1703" i="1"/>
  <c r="E1703" i="1"/>
  <c r="K1703" i="1"/>
  <c r="L1703" i="1"/>
  <c r="M1703" i="1"/>
  <c r="N1703" i="1"/>
  <c r="T1703" i="1"/>
  <c r="U1703" i="1"/>
  <c r="Z1703" i="1"/>
  <c r="AA1703" i="1"/>
  <c r="B1704" i="1"/>
  <c r="E1704" i="1"/>
  <c r="K1704" i="1"/>
  <c r="L1704" i="1"/>
  <c r="M1704" i="1"/>
  <c r="N1704" i="1"/>
  <c r="T1704" i="1"/>
  <c r="U1704" i="1"/>
  <c r="Z1704" i="1"/>
  <c r="AA1704" i="1"/>
  <c r="B1705" i="1"/>
  <c r="E1705" i="1"/>
  <c r="K1705" i="1"/>
  <c r="L1705" i="1"/>
  <c r="M1705" i="1"/>
  <c r="N1705" i="1"/>
  <c r="T1705" i="1"/>
  <c r="U1705" i="1"/>
  <c r="Z1705" i="1"/>
  <c r="AA1705" i="1"/>
  <c r="B1706" i="1"/>
  <c r="E1706" i="1"/>
  <c r="K1706" i="1"/>
  <c r="L1706" i="1"/>
  <c r="M1706" i="1"/>
  <c r="N1706" i="1"/>
  <c r="T1706" i="1"/>
  <c r="U1706" i="1"/>
  <c r="Z1706" i="1"/>
  <c r="AA1706" i="1"/>
  <c r="B1707" i="1"/>
  <c r="E1707" i="1"/>
  <c r="K1707" i="1"/>
  <c r="L1707" i="1"/>
  <c r="M1707" i="1"/>
  <c r="N1707" i="1"/>
  <c r="T1707" i="1"/>
  <c r="U1707" i="1"/>
  <c r="Z1707" i="1"/>
  <c r="AA1707" i="1"/>
  <c r="B1708" i="1"/>
  <c r="E1708" i="1"/>
  <c r="K1708" i="1"/>
  <c r="L1708" i="1"/>
  <c r="M1708" i="1"/>
  <c r="N1708" i="1"/>
  <c r="T1708" i="1"/>
  <c r="U1708" i="1"/>
  <c r="Z1708" i="1"/>
  <c r="AA1708" i="1"/>
  <c r="B1709" i="1"/>
  <c r="E1709" i="1"/>
  <c r="K1709" i="1"/>
  <c r="L1709" i="1"/>
  <c r="M1709" i="1"/>
  <c r="N1709" i="1"/>
  <c r="T1709" i="1"/>
  <c r="U1709" i="1"/>
  <c r="Z1709" i="1"/>
  <c r="AA1709" i="1"/>
  <c r="B1710" i="1"/>
  <c r="E1710" i="1"/>
  <c r="K1710" i="1"/>
  <c r="L1710" i="1"/>
  <c r="M1710" i="1"/>
  <c r="N1710" i="1"/>
  <c r="T1710" i="1"/>
  <c r="U1710" i="1"/>
  <c r="Z1710" i="1"/>
  <c r="AA1710" i="1"/>
  <c r="B1711" i="1"/>
  <c r="E1711" i="1"/>
  <c r="K1711" i="1"/>
  <c r="L1711" i="1"/>
  <c r="M1711" i="1"/>
  <c r="N1711" i="1"/>
  <c r="T1711" i="1"/>
  <c r="U1711" i="1"/>
  <c r="Z1711" i="1"/>
  <c r="AA1711" i="1"/>
  <c r="B1712" i="1"/>
  <c r="E1712" i="1"/>
  <c r="K1712" i="1"/>
  <c r="L1712" i="1"/>
  <c r="M1712" i="1"/>
  <c r="N1712" i="1"/>
  <c r="T1712" i="1"/>
  <c r="U1712" i="1"/>
  <c r="Z1712" i="1"/>
  <c r="AA1712" i="1"/>
  <c r="B1713" i="1"/>
  <c r="E1713" i="1"/>
  <c r="K1713" i="1"/>
  <c r="L1713" i="1"/>
  <c r="M1713" i="1"/>
  <c r="N1713" i="1"/>
  <c r="T1713" i="1"/>
  <c r="U1713" i="1"/>
  <c r="Z1713" i="1"/>
  <c r="AA1713" i="1"/>
  <c r="B1714" i="1"/>
  <c r="E1714" i="1"/>
  <c r="K1714" i="1"/>
  <c r="L1714" i="1"/>
  <c r="M1714" i="1"/>
  <c r="N1714" i="1"/>
  <c r="T1714" i="1"/>
  <c r="U1714" i="1"/>
  <c r="Z1714" i="1"/>
  <c r="AA1714" i="1"/>
  <c r="B1715" i="1"/>
  <c r="E1715" i="1"/>
  <c r="K1715" i="1"/>
  <c r="L1715" i="1"/>
  <c r="M1715" i="1"/>
  <c r="N1715" i="1"/>
  <c r="T1715" i="1"/>
  <c r="U1715" i="1"/>
  <c r="Z1715" i="1"/>
  <c r="AA1715" i="1"/>
  <c r="B1716" i="1"/>
  <c r="E1716" i="1"/>
  <c r="K1716" i="1"/>
  <c r="L1716" i="1"/>
  <c r="M1716" i="1"/>
  <c r="N1716" i="1"/>
  <c r="T1716" i="1"/>
  <c r="U1716" i="1"/>
  <c r="Z1716" i="1"/>
  <c r="AA1716" i="1"/>
  <c r="B1717" i="1"/>
  <c r="E1717" i="1"/>
  <c r="K1717" i="1"/>
  <c r="L1717" i="1"/>
  <c r="M1717" i="1"/>
  <c r="N1717" i="1"/>
  <c r="T1717" i="1"/>
  <c r="U1717" i="1"/>
  <c r="Z1717" i="1"/>
  <c r="AA1717" i="1"/>
  <c r="B1718" i="1"/>
  <c r="E1718" i="1"/>
  <c r="K1718" i="1"/>
  <c r="L1718" i="1"/>
  <c r="M1718" i="1"/>
  <c r="N1718" i="1"/>
  <c r="T1718" i="1"/>
  <c r="U1718" i="1"/>
  <c r="Z1718" i="1"/>
  <c r="AA1718" i="1"/>
  <c r="B1719" i="1"/>
  <c r="E1719" i="1"/>
  <c r="K1719" i="1"/>
  <c r="L1719" i="1"/>
  <c r="M1719" i="1"/>
  <c r="N1719" i="1"/>
  <c r="T1719" i="1"/>
  <c r="U1719" i="1"/>
  <c r="Z1719" i="1"/>
  <c r="AA1719" i="1"/>
  <c r="B1720" i="1"/>
  <c r="E1720" i="1"/>
  <c r="K1720" i="1"/>
  <c r="L1720" i="1"/>
  <c r="M1720" i="1"/>
  <c r="N1720" i="1"/>
  <c r="T1720" i="1"/>
  <c r="U1720" i="1"/>
  <c r="Z1720" i="1"/>
  <c r="AA1720" i="1"/>
  <c r="B1721" i="1"/>
  <c r="E1721" i="1"/>
  <c r="K1721" i="1"/>
  <c r="L1721" i="1"/>
  <c r="M1721" i="1"/>
  <c r="N1721" i="1"/>
  <c r="T1721" i="1"/>
  <c r="U1721" i="1"/>
  <c r="Z1721" i="1"/>
  <c r="AA1721" i="1"/>
  <c r="B1722" i="1"/>
  <c r="E1722" i="1"/>
  <c r="K1722" i="1"/>
  <c r="L1722" i="1"/>
  <c r="M1722" i="1"/>
  <c r="N1722" i="1"/>
  <c r="T1722" i="1"/>
  <c r="U1722" i="1"/>
  <c r="Z1722" i="1"/>
  <c r="AA1722" i="1"/>
  <c r="B1723" i="1"/>
  <c r="E1723" i="1"/>
  <c r="K1723" i="1"/>
  <c r="L1723" i="1"/>
  <c r="M1723" i="1"/>
  <c r="N1723" i="1"/>
  <c r="T1723" i="1"/>
  <c r="U1723" i="1"/>
  <c r="Z1723" i="1"/>
  <c r="AA1723" i="1"/>
  <c r="B1724" i="1"/>
  <c r="E1724" i="1"/>
  <c r="K1724" i="1"/>
  <c r="L1724" i="1"/>
  <c r="M1724" i="1"/>
  <c r="N1724" i="1"/>
  <c r="T1724" i="1"/>
  <c r="U1724" i="1"/>
  <c r="Z1724" i="1"/>
  <c r="AA1724" i="1"/>
  <c r="B1725" i="1"/>
  <c r="E1725" i="1"/>
  <c r="K1725" i="1"/>
  <c r="L1725" i="1"/>
  <c r="M1725" i="1"/>
  <c r="N1725" i="1"/>
  <c r="T1725" i="1"/>
  <c r="U1725" i="1"/>
  <c r="Z1725" i="1"/>
  <c r="AA1725" i="1"/>
  <c r="B1726" i="1"/>
  <c r="E1726" i="1"/>
  <c r="K1726" i="1"/>
  <c r="L1726" i="1"/>
  <c r="M1726" i="1"/>
  <c r="N1726" i="1"/>
  <c r="T1726" i="1"/>
  <c r="U1726" i="1"/>
  <c r="Z1726" i="1"/>
  <c r="AA1726" i="1"/>
  <c r="B1727" i="1"/>
  <c r="E1727" i="1"/>
  <c r="K1727" i="1"/>
  <c r="L1727" i="1"/>
  <c r="M1727" i="1"/>
  <c r="N1727" i="1"/>
  <c r="T1727" i="1"/>
  <c r="U1727" i="1"/>
  <c r="Z1727" i="1"/>
  <c r="AA1727" i="1"/>
  <c r="B1728" i="1"/>
  <c r="E1728" i="1"/>
  <c r="K1728" i="1"/>
  <c r="L1728" i="1"/>
  <c r="M1728" i="1"/>
  <c r="N1728" i="1"/>
  <c r="T1728" i="1"/>
  <c r="U1728" i="1"/>
  <c r="Z1728" i="1"/>
  <c r="AA1728" i="1"/>
  <c r="B1729" i="1"/>
  <c r="E1729" i="1"/>
  <c r="K1729" i="1"/>
  <c r="L1729" i="1"/>
  <c r="M1729" i="1"/>
  <c r="N1729" i="1"/>
  <c r="T1729" i="1"/>
  <c r="U1729" i="1"/>
  <c r="Z1729" i="1"/>
  <c r="AA1729" i="1"/>
  <c r="B1730" i="1"/>
  <c r="E1730" i="1"/>
  <c r="K1730" i="1"/>
  <c r="L1730" i="1"/>
  <c r="M1730" i="1"/>
  <c r="N1730" i="1"/>
  <c r="T1730" i="1"/>
  <c r="U1730" i="1"/>
  <c r="Z1730" i="1"/>
  <c r="AA1730" i="1"/>
  <c r="B1731" i="1"/>
  <c r="E1731" i="1"/>
  <c r="K1731" i="1"/>
  <c r="L1731" i="1"/>
  <c r="M1731" i="1"/>
  <c r="N1731" i="1"/>
  <c r="T1731" i="1"/>
  <c r="U1731" i="1"/>
  <c r="Z1731" i="1"/>
  <c r="AA1731" i="1"/>
  <c r="B1732" i="1"/>
  <c r="E1732" i="1"/>
  <c r="K1732" i="1"/>
  <c r="L1732" i="1"/>
  <c r="M1732" i="1"/>
  <c r="N1732" i="1"/>
  <c r="T1732" i="1"/>
  <c r="U1732" i="1"/>
  <c r="Z1732" i="1"/>
  <c r="AA1732" i="1"/>
  <c r="B1733" i="1"/>
  <c r="E1733" i="1"/>
  <c r="K1733" i="1"/>
  <c r="L1733" i="1"/>
  <c r="M1733" i="1"/>
  <c r="N1733" i="1"/>
  <c r="T1733" i="1"/>
  <c r="U1733" i="1"/>
  <c r="Z1733" i="1"/>
  <c r="AA1733" i="1"/>
  <c r="B1734" i="1"/>
  <c r="E1734" i="1"/>
  <c r="K1734" i="1"/>
  <c r="L1734" i="1"/>
  <c r="M1734" i="1"/>
  <c r="N1734" i="1"/>
  <c r="T1734" i="1"/>
  <c r="U1734" i="1"/>
  <c r="Z1734" i="1"/>
  <c r="AA1734" i="1"/>
  <c r="B1735" i="1"/>
  <c r="E1735" i="1"/>
  <c r="K1735" i="1"/>
  <c r="L1735" i="1"/>
  <c r="M1735" i="1"/>
  <c r="N1735" i="1"/>
  <c r="T1735" i="1"/>
  <c r="U1735" i="1"/>
  <c r="Z1735" i="1"/>
  <c r="AA1735" i="1"/>
  <c r="B1736" i="1"/>
  <c r="E1736" i="1"/>
  <c r="K1736" i="1"/>
  <c r="L1736" i="1"/>
  <c r="M1736" i="1"/>
  <c r="N1736" i="1"/>
  <c r="T1736" i="1"/>
  <c r="U1736" i="1"/>
  <c r="Z1736" i="1"/>
  <c r="AA1736" i="1"/>
  <c r="B1737" i="1"/>
  <c r="E1737" i="1"/>
  <c r="K1737" i="1"/>
  <c r="L1737" i="1"/>
  <c r="M1737" i="1"/>
  <c r="N1737" i="1"/>
  <c r="T1737" i="1"/>
  <c r="U1737" i="1"/>
  <c r="Z1737" i="1"/>
  <c r="AA1737" i="1"/>
  <c r="B1738" i="1"/>
  <c r="E1738" i="1"/>
  <c r="K1738" i="1"/>
  <c r="L1738" i="1"/>
  <c r="M1738" i="1"/>
  <c r="N1738" i="1"/>
  <c r="T1738" i="1"/>
  <c r="U1738" i="1"/>
  <c r="Z1738" i="1"/>
  <c r="AA1738" i="1"/>
  <c r="B1739" i="1"/>
  <c r="E1739" i="1"/>
  <c r="K1739" i="1"/>
  <c r="L1739" i="1"/>
  <c r="M1739" i="1"/>
  <c r="N1739" i="1"/>
  <c r="T1739" i="1"/>
  <c r="U1739" i="1"/>
  <c r="Z1739" i="1"/>
  <c r="AA1739" i="1"/>
  <c r="B1740" i="1"/>
  <c r="E1740" i="1"/>
  <c r="K1740" i="1"/>
  <c r="L1740" i="1"/>
  <c r="M1740" i="1"/>
  <c r="N1740" i="1"/>
  <c r="T1740" i="1"/>
  <c r="U1740" i="1"/>
  <c r="Z1740" i="1"/>
  <c r="AA1740" i="1"/>
  <c r="B1741" i="1"/>
  <c r="E1741" i="1"/>
  <c r="K1741" i="1"/>
  <c r="L1741" i="1"/>
  <c r="M1741" i="1"/>
  <c r="N1741" i="1"/>
  <c r="T1741" i="1"/>
  <c r="U1741" i="1"/>
  <c r="Z1741" i="1"/>
  <c r="AA1741" i="1"/>
  <c r="B1742" i="1"/>
  <c r="E1742" i="1"/>
  <c r="K1742" i="1"/>
  <c r="L1742" i="1"/>
  <c r="M1742" i="1"/>
  <c r="N1742" i="1"/>
  <c r="T1742" i="1"/>
  <c r="U1742" i="1"/>
  <c r="Z1742" i="1"/>
  <c r="AA1742" i="1"/>
  <c r="B1743" i="1"/>
  <c r="E1743" i="1"/>
  <c r="K1743" i="1"/>
  <c r="L1743" i="1"/>
  <c r="M1743" i="1"/>
  <c r="N1743" i="1"/>
  <c r="T1743" i="1"/>
  <c r="U1743" i="1"/>
  <c r="Z1743" i="1"/>
  <c r="AA1743" i="1"/>
  <c r="B1744" i="1"/>
  <c r="E1744" i="1"/>
  <c r="K1744" i="1"/>
  <c r="L1744" i="1"/>
  <c r="M1744" i="1"/>
  <c r="N1744" i="1"/>
  <c r="T1744" i="1"/>
  <c r="U1744" i="1"/>
  <c r="Z1744" i="1"/>
  <c r="AA1744" i="1"/>
  <c r="B1745" i="1"/>
  <c r="E1745" i="1"/>
  <c r="K1745" i="1"/>
  <c r="L1745" i="1"/>
  <c r="M1745" i="1"/>
  <c r="N1745" i="1"/>
  <c r="T1745" i="1"/>
  <c r="U1745" i="1"/>
  <c r="Z1745" i="1"/>
  <c r="AA1745" i="1"/>
  <c r="B1746" i="1"/>
  <c r="E1746" i="1"/>
  <c r="K1746" i="1"/>
  <c r="L1746" i="1"/>
  <c r="M1746" i="1"/>
  <c r="N1746" i="1"/>
  <c r="T1746" i="1"/>
  <c r="U1746" i="1"/>
  <c r="Z1746" i="1"/>
  <c r="AA1746" i="1"/>
  <c r="B1747" i="1"/>
  <c r="E1747" i="1"/>
  <c r="K1747" i="1"/>
  <c r="L1747" i="1"/>
  <c r="M1747" i="1"/>
  <c r="N1747" i="1"/>
  <c r="T1747" i="1"/>
  <c r="U1747" i="1"/>
  <c r="Z1747" i="1"/>
  <c r="AA1747" i="1"/>
  <c r="B1748" i="1"/>
  <c r="E1748" i="1"/>
  <c r="K1748" i="1"/>
  <c r="L1748" i="1"/>
  <c r="M1748" i="1"/>
  <c r="N1748" i="1"/>
  <c r="T1748" i="1"/>
  <c r="U1748" i="1"/>
  <c r="Z1748" i="1"/>
  <c r="AA1748" i="1"/>
  <c r="B1749" i="1"/>
  <c r="E1749" i="1"/>
  <c r="K1749" i="1"/>
  <c r="L1749" i="1"/>
  <c r="M1749" i="1"/>
  <c r="N1749" i="1"/>
  <c r="T1749" i="1"/>
  <c r="U1749" i="1"/>
  <c r="Z1749" i="1"/>
  <c r="AA1749" i="1"/>
  <c r="B1750" i="1"/>
  <c r="E1750" i="1"/>
  <c r="K1750" i="1"/>
  <c r="L1750" i="1"/>
  <c r="M1750" i="1"/>
  <c r="N1750" i="1"/>
  <c r="T1750" i="1"/>
  <c r="U1750" i="1"/>
  <c r="Z1750" i="1"/>
  <c r="AA1750" i="1"/>
  <c r="B1751" i="1"/>
  <c r="E1751" i="1"/>
  <c r="K1751" i="1"/>
  <c r="L1751" i="1"/>
  <c r="M1751" i="1"/>
  <c r="N1751" i="1"/>
  <c r="T1751" i="1"/>
  <c r="U1751" i="1"/>
  <c r="Z1751" i="1"/>
  <c r="AA1751" i="1"/>
  <c r="B1752" i="1"/>
  <c r="E1752" i="1"/>
  <c r="K1752" i="1"/>
  <c r="L1752" i="1"/>
  <c r="M1752" i="1"/>
  <c r="N1752" i="1"/>
  <c r="T1752" i="1"/>
  <c r="U1752" i="1"/>
  <c r="Z1752" i="1"/>
  <c r="AA1752" i="1"/>
  <c r="B1753" i="1"/>
  <c r="E1753" i="1"/>
  <c r="K1753" i="1"/>
  <c r="L1753" i="1"/>
  <c r="M1753" i="1"/>
  <c r="N1753" i="1"/>
  <c r="T1753" i="1"/>
  <c r="U1753" i="1"/>
  <c r="Z1753" i="1"/>
  <c r="AA1753" i="1"/>
  <c r="B1754" i="1"/>
  <c r="E1754" i="1"/>
  <c r="K1754" i="1"/>
  <c r="L1754" i="1"/>
  <c r="M1754" i="1"/>
  <c r="N1754" i="1"/>
  <c r="T1754" i="1"/>
  <c r="U1754" i="1"/>
  <c r="Z1754" i="1"/>
  <c r="AA1754" i="1"/>
  <c r="B1755" i="1"/>
  <c r="E1755" i="1"/>
  <c r="K1755" i="1"/>
  <c r="L1755" i="1"/>
  <c r="M1755" i="1"/>
  <c r="N1755" i="1"/>
  <c r="T1755" i="1"/>
  <c r="U1755" i="1"/>
  <c r="Z1755" i="1"/>
  <c r="AA1755" i="1"/>
  <c r="B1756" i="1"/>
  <c r="E1756" i="1"/>
  <c r="K1756" i="1"/>
  <c r="L1756" i="1"/>
  <c r="M1756" i="1"/>
  <c r="N1756" i="1"/>
  <c r="T1756" i="1"/>
  <c r="U1756" i="1"/>
  <c r="Z1756" i="1"/>
  <c r="AA1756" i="1"/>
  <c r="B1757" i="1"/>
  <c r="E1757" i="1"/>
  <c r="K1757" i="1"/>
  <c r="L1757" i="1"/>
  <c r="M1757" i="1"/>
  <c r="N1757" i="1"/>
  <c r="T1757" i="1"/>
  <c r="U1757" i="1"/>
  <c r="Z1757" i="1"/>
  <c r="AA1757" i="1"/>
  <c r="B1758" i="1"/>
  <c r="E1758" i="1"/>
  <c r="K1758" i="1"/>
  <c r="L1758" i="1"/>
  <c r="M1758" i="1"/>
  <c r="N1758" i="1"/>
  <c r="T1758" i="1"/>
  <c r="U1758" i="1"/>
  <c r="Z1758" i="1"/>
  <c r="AA1758" i="1"/>
  <c r="B1759" i="1"/>
  <c r="E1759" i="1"/>
  <c r="K1759" i="1"/>
  <c r="L1759" i="1"/>
  <c r="M1759" i="1"/>
  <c r="N1759" i="1"/>
  <c r="T1759" i="1"/>
  <c r="U1759" i="1"/>
  <c r="Z1759" i="1"/>
  <c r="AA1759" i="1"/>
  <c r="B1760" i="1"/>
  <c r="E1760" i="1"/>
  <c r="K1760" i="1"/>
  <c r="L1760" i="1"/>
  <c r="M1760" i="1"/>
  <c r="N1760" i="1"/>
  <c r="T1760" i="1"/>
  <c r="U1760" i="1"/>
  <c r="Z1760" i="1"/>
  <c r="AA1760" i="1"/>
  <c r="B1761" i="1"/>
  <c r="E1761" i="1"/>
  <c r="K1761" i="1"/>
  <c r="L1761" i="1"/>
  <c r="M1761" i="1"/>
  <c r="N1761" i="1"/>
  <c r="T1761" i="1"/>
  <c r="U1761" i="1"/>
  <c r="Z1761" i="1"/>
  <c r="AA1761" i="1"/>
  <c r="B1762" i="1"/>
  <c r="E1762" i="1"/>
  <c r="K1762" i="1"/>
  <c r="L1762" i="1"/>
  <c r="M1762" i="1"/>
  <c r="N1762" i="1"/>
  <c r="T1762" i="1"/>
  <c r="U1762" i="1"/>
  <c r="Z1762" i="1"/>
  <c r="AA1762" i="1"/>
  <c r="B1763" i="1"/>
  <c r="E1763" i="1"/>
  <c r="K1763" i="1"/>
  <c r="L1763" i="1"/>
  <c r="M1763" i="1"/>
  <c r="N1763" i="1"/>
  <c r="T1763" i="1"/>
  <c r="U1763" i="1"/>
  <c r="Z1763" i="1"/>
  <c r="AA1763" i="1"/>
  <c r="B1764" i="1"/>
  <c r="E1764" i="1"/>
  <c r="K1764" i="1"/>
  <c r="L1764" i="1"/>
  <c r="M1764" i="1"/>
  <c r="N1764" i="1"/>
  <c r="T1764" i="1"/>
  <c r="U1764" i="1"/>
  <c r="Z1764" i="1"/>
  <c r="AA1764" i="1"/>
  <c r="B1765" i="1"/>
  <c r="E1765" i="1"/>
  <c r="K1765" i="1"/>
  <c r="L1765" i="1"/>
  <c r="M1765" i="1"/>
  <c r="N1765" i="1"/>
  <c r="T1765" i="1"/>
  <c r="U1765" i="1"/>
  <c r="Z1765" i="1"/>
  <c r="AA1765" i="1"/>
  <c r="B1766" i="1"/>
  <c r="E1766" i="1"/>
  <c r="K1766" i="1"/>
  <c r="L1766" i="1"/>
  <c r="M1766" i="1"/>
  <c r="N1766" i="1"/>
  <c r="T1766" i="1"/>
  <c r="U1766" i="1"/>
  <c r="Z1766" i="1"/>
  <c r="AA1766" i="1"/>
  <c r="B1767" i="1"/>
  <c r="E1767" i="1"/>
  <c r="K1767" i="1"/>
  <c r="L1767" i="1"/>
  <c r="M1767" i="1"/>
  <c r="N1767" i="1"/>
  <c r="T1767" i="1"/>
  <c r="U1767" i="1"/>
  <c r="Z1767" i="1"/>
  <c r="AA1767" i="1"/>
  <c r="B1768" i="1"/>
  <c r="E1768" i="1"/>
  <c r="K1768" i="1"/>
  <c r="L1768" i="1"/>
  <c r="M1768" i="1"/>
  <c r="N1768" i="1"/>
  <c r="T1768" i="1"/>
  <c r="U1768" i="1"/>
  <c r="Z1768" i="1"/>
  <c r="AA1768" i="1"/>
  <c r="B1769" i="1"/>
  <c r="E1769" i="1"/>
  <c r="K1769" i="1"/>
  <c r="L1769" i="1"/>
  <c r="M1769" i="1"/>
  <c r="N1769" i="1"/>
  <c r="T1769" i="1"/>
  <c r="U1769" i="1"/>
  <c r="Z1769" i="1"/>
  <c r="AA1769" i="1"/>
  <c r="B1770" i="1"/>
  <c r="E1770" i="1"/>
  <c r="K1770" i="1"/>
  <c r="L1770" i="1"/>
  <c r="M1770" i="1"/>
  <c r="N1770" i="1"/>
  <c r="T1770" i="1"/>
  <c r="U1770" i="1"/>
  <c r="Z1770" i="1"/>
  <c r="AA1770" i="1"/>
  <c r="B1771" i="1"/>
  <c r="E1771" i="1"/>
  <c r="K1771" i="1"/>
  <c r="L1771" i="1"/>
  <c r="M1771" i="1"/>
  <c r="N1771" i="1"/>
  <c r="T1771" i="1"/>
  <c r="U1771" i="1"/>
  <c r="Z1771" i="1"/>
  <c r="AA1771" i="1"/>
  <c r="B1772" i="1"/>
  <c r="E1772" i="1"/>
  <c r="K1772" i="1"/>
  <c r="L1772" i="1"/>
  <c r="M1772" i="1"/>
  <c r="N1772" i="1"/>
  <c r="T1772" i="1"/>
  <c r="U1772" i="1"/>
  <c r="Z1772" i="1"/>
  <c r="AA1772" i="1"/>
  <c r="B1773" i="1"/>
  <c r="E1773" i="1"/>
  <c r="K1773" i="1"/>
  <c r="L1773" i="1"/>
  <c r="M1773" i="1"/>
  <c r="N1773" i="1"/>
  <c r="T1773" i="1"/>
  <c r="U1773" i="1"/>
  <c r="Z1773" i="1"/>
  <c r="AA1773" i="1"/>
  <c r="B1774" i="1"/>
  <c r="E1774" i="1"/>
  <c r="K1774" i="1"/>
  <c r="L1774" i="1"/>
  <c r="M1774" i="1"/>
  <c r="N1774" i="1"/>
  <c r="T1774" i="1"/>
  <c r="U1774" i="1"/>
  <c r="Z1774" i="1"/>
  <c r="AA1774" i="1"/>
  <c r="B1775" i="1"/>
  <c r="E1775" i="1"/>
  <c r="K1775" i="1"/>
  <c r="L1775" i="1"/>
  <c r="M1775" i="1"/>
  <c r="N1775" i="1"/>
  <c r="T1775" i="1"/>
  <c r="U1775" i="1"/>
  <c r="Z1775" i="1"/>
  <c r="AA1775" i="1"/>
  <c r="B1776" i="1"/>
  <c r="E1776" i="1"/>
  <c r="K1776" i="1"/>
  <c r="L1776" i="1"/>
  <c r="M1776" i="1"/>
  <c r="N1776" i="1"/>
  <c r="T1776" i="1"/>
  <c r="U1776" i="1"/>
  <c r="Z1776" i="1"/>
  <c r="AA1776" i="1"/>
  <c r="B1777" i="1"/>
  <c r="E1777" i="1"/>
  <c r="K1777" i="1"/>
  <c r="L1777" i="1"/>
  <c r="M1777" i="1"/>
  <c r="N1777" i="1"/>
  <c r="T1777" i="1"/>
  <c r="U1777" i="1"/>
  <c r="Z1777" i="1"/>
  <c r="AA1777" i="1"/>
  <c r="B1778" i="1"/>
  <c r="E1778" i="1"/>
  <c r="K1778" i="1"/>
  <c r="L1778" i="1"/>
  <c r="M1778" i="1"/>
  <c r="N1778" i="1"/>
  <c r="T1778" i="1"/>
  <c r="U1778" i="1"/>
  <c r="Z1778" i="1"/>
  <c r="AA1778" i="1"/>
  <c r="B1779" i="1"/>
  <c r="E1779" i="1"/>
  <c r="K1779" i="1"/>
  <c r="L1779" i="1"/>
  <c r="M1779" i="1"/>
  <c r="N1779" i="1"/>
  <c r="T1779" i="1"/>
  <c r="U1779" i="1"/>
  <c r="Z1779" i="1"/>
  <c r="AA1779" i="1"/>
  <c r="B1780" i="1"/>
  <c r="E1780" i="1"/>
  <c r="K1780" i="1"/>
  <c r="L1780" i="1"/>
  <c r="M1780" i="1"/>
  <c r="N1780" i="1"/>
  <c r="T1780" i="1"/>
  <c r="U1780" i="1"/>
  <c r="Z1780" i="1"/>
  <c r="AA1780" i="1"/>
  <c r="B1781" i="1"/>
  <c r="E1781" i="1"/>
  <c r="K1781" i="1"/>
  <c r="L1781" i="1"/>
  <c r="M1781" i="1"/>
  <c r="N1781" i="1"/>
  <c r="T1781" i="1"/>
  <c r="U1781" i="1"/>
  <c r="Z1781" i="1"/>
  <c r="AA1781" i="1"/>
  <c r="B1782" i="1"/>
  <c r="E1782" i="1"/>
  <c r="K1782" i="1"/>
  <c r="L1782" i="1"/>
  <c r="M1782" i="1"/>
  <c r="N1782" i="1"/>
  <c r="T1782" i="1"/>
  <c r="U1782" i="1"/>
  <c r="Z1782" i="1"/>
  <c r="AA1782" i="1"/>
  <c r="B1783" i="1"/>
  <c r="E1783" i="1"/>
  <c r="K1783" i="1"/>
  <c r="L1783" i="1"/>
  <c r="M1783" i="1"/>
  <c r="N1783" i="1"/>
  <c r="T1783" i="1"/>
  <c r="U1783" i="1"/>
  <c r="Z1783" i="1"/>
  <c r="AA1783" i="1"/>
  <c r="B1784" i="1"/>
  <c r="E1784" i="1"/>
  <c r="K1784" i="1"/>
  <c r="L1784" i="1"/>
  <c r="M1784" i="1"/>
  <c r="N1784" i="1"/>
  <c r="T1784" i="1"/>
  <c r="U1784" i="1"/>
  <c r="Z1784" i="1"/>
  <c r="AA1784" i="1"/>
  <c r="B1785" i="1"/>
  <c r="E1785" i="1"/>
  <c r="K1785" i="1"/>
  <c r="L1785" i="1"/>
  <c r="M1785" i="1"/>
  <c r="N1785" i="1"/>
  <c r="T1785" i="1"/>
  <c r="U1785" i="1"/>
  <c r="Z1785" i="1"/>
  <c r="AA1785" i="1"/>
  <c r="B1786" i="1"/>
  <c r="E1786" i="1"/>
  <c r="K1786" i="1"/>
  <c r="L1786" i="1"/>
  <c r="M1786" i="1"/>
  <c r="N1786" i="1"/>
  <c r="T1786" i="1"/>
  <c r="U1786" i="1"/>
  <c r="Z1786" i="1"/>
  <c r="AA1786" i="1"/>
  <c r="B1787" i="1"/>
  <c r="E1787" i="1"/>
  <c r="K1787" i="1"/>
  <c r="L1787" i="1"/>
  <c r="M1787" i="1"/>
  <c r="N1787" i="1"/>
  <c r="T1787" i="1"/>
  <c r="U1787" i="1"/>
  <c r="Z1787" i="1"/>
  <c r="AA1787" i="1"/>
  <c r="B1788" i="1"/>
  <c r="E1788" i="1"/>
  <c r="K1788" i="1"/>
  <c r="L1788" i="1"/>
  <c r="M1788" i="1"/>
  <c r="N1788" i="1"/>
  <c r="T1788" i="1"/>
  <c r="U1788" i="1"/>
  <c r="Z1788" i="1"/>
  <c r="AA1788" i="1"/>
  <c r="B1789" i="1"/>
  <c r="E1789" i="1"/>
  <c r="K1789" i="1"/>
  <c r="L1789" i="1"/>
  <c r="M1789" i="1"/>
  <c r="N1789" i="1"/>
  <c r="T1789" i="1"/>
  <c r="U1789" i="1"/>
  <c r="Z1789" i="1"/>
  <c r="AA1789" i="1"/>
  <c r="B1790" i="1"/>
  <c r="E1790" i="1"/>
  <c r="K1790" i="1"/>
  <c r="L1790" i="1"/>
  <c r="M1790" i="1"/>
  <c r="N1790" i="1"/>
  <c r="T1790" i="1"/>
  <c r="U1790" i="1"/>
  <c r="Z1790" i="1"/>
  <c r="AA1790" i="1"/>
  <c r="B1791" i="1"/>
  <c r="E1791" i="1"/>
  <c r="K1791" i="1"/>
  <c r="L1791" i="1"/>
  <c r="M1791" i="1"/>
  <c r="N1791" i="1"/>
  <c r="T1791" i="1"/>
  <c r="U1791" i="1"/>
  <c r="Z1791" i="1"/>
  <c r="AA1791" i="1"/>
  <c r="B1792" i="1"/>
  <c r="E1792" i="1"/>
  <c r="K1792" i="1"/>
  <c r="L1792" i="1"/>
  <c r="M1792" i="1"/>
  <c r="N1792" i="1"/>
  <c r="T1792" i="1"/>
  <c r="U1792" i="1"/>
  <c r="Z1792" i="1"/>
  <c r="AA1792" i="1"/>
  <c r="B1793" i="1"/>
  <c r="E1793" i="1"/>
  <c r="K1793" i="1"/>
  <c r="L1793" i="1"/>
  <c r="M1793" i="1"/>
  <c r="N1793" i="1"/>
  <c r="T1793" i="1"/>
  <c r="U1793" i="1"/>
  <c r="Z1793" i="1"/>
  <c r="AA1793" i="1"/>
  <c r="B1794" i="1"/>
  <c r="E1794" i="1"/>
  <c r="K1794" i="1"/>
  <c r="L1794" i="1"/>
  <c r="M1794" i="1"/>
  <c r="N1794" i="1"/>
  <c r="T1794" i="1"/>
  <c r="U1794" i="1"/>
  <c r="Z1794" i="1"/>
  <c r="AA1794" i="1"/>
  <c r="B1795" i="1"/>
  <c r="E1795" i="1"/>
  <c r="K1795" i="1"/>
  <c r="L1795" i="1"/>
  <c r="M1795" i="1"/>
  <c r="N1795" i="1"/>
  <c r="T1795" i="1"/>
  <c r="U1795" i="1"/>
  <c r="Z1795" i="1"/>
  <c r="AA1795" i="1"/>
  <c r="B1796" i="1"/>
  <c r="E1796" i="1"/>
  <c r="K1796" i="1"/>
  <c r="L1796" i="1"/>
  <c r="M1796" i="1"/>
  <c r="N1796" i="1"/>
  <c r="T1796" i="1"/>
  <c r="U1796" i="1"/>
  <c r="Z1796" i="1"/>
  <c r="AA1796" i="1"/>
  <c r="B1797" i="1"/>
  <c r="E1797" i="1"/>
  <c r="K1797" i="1"/>
  <c r="L1797" i="1"/>
  <c r="M1797" i="1"/>
  <c r="N1797" i="1"/>
  <c r="T1797" i="1"/>
  <c r="U1797" i="1"/>
  <c r="Z1797" i="1"/>
  <c r="AA1797" i="1"/>
  <c r="B1798" i="1"/>
  <c r="E1798" i="1"/>
  <c r="K1798" i="1"/>
  <c r="L1798" i="1"/>
  <c r="M1798" i="1"/>
  <c r="N1798" i="1"/>
  <c r="T1798" i="1"/>
  <c r="U1798" i="1"/>
  <c r="Z1798" i="1"/>
  <c r="AA1798" i="1"/>
  <c r="B1799" i="1"/>
  <c r="E1799" i="1"/>
  <c r="K1799" i="1"/>
  <c r="L1799" i="1"/>
  <c r="M1799" i="1"/>
  <c r="N1799" i="1"/>
  <c r="T1799" i="1"/>
  <c r="U1799" i="1"/>
  <c r="Z1799" i="1"/>
  <c r="AA1799" i="1"/>
  <c r="B1800" i="1"/>
  <c r="E1800" i="1"/>
  <c r="K1800" i="1"/>
  <c r="L1800" i="1"/>
  <c r="M1800" i="1"/>
  <c r="N1800" i="1"/>
  <c r="T1800" i="1"/>
  <c r="U1800" i="1"/>
  <c r="Z1800" i="1"/>
  <c r="AA1800" i="1"/>
  <c r="B1801" i="1"/>
  <c r="E1801" i="1"/>
  <c r="K1801" i="1"/>
  <c r="L1801" i="1"/>
  <c r="M1801" i="1"/>
  <c r="N1801" i="1"/>
  <c r="T1801" i="1"/>
  <c r="U1801" i="1"/>
  <c r="Z1801" i="1"/>
  <c r="AA1801" i="1"/>
  <c r="B1802" i="1"/>
  <c r="E1802" i="1"/>
  <c r="K1802" i="1"/>
  <c r="L1802" i="1"/>
  <c r="M1802" i="1"/>
  <c r="N1802" i="1"/>
  <c r="T1802" i="1"/>
  <c r="U1802" i="1"/>
  <c r="Z1802" i="1"/>
  <c r="AA1802" i="1"/>
  <c r="B1803" i="1"/>
  <c r="E1803" i="1"/>
  <c r="K1803" i="1"/>
  <c r="L1803" i="1"/>
  <c r="M1803" i="1"/>
  <c r="N1803" i="1"/>
  <c r="T1803" i="1"/>
  <c r="U1803" i="1"/>
  <c r="Z1803" i="1"/>
  <c r="AA1803" i="1"/>
  <c r="B1804" i="1"/>
  <c r="E1804" i="1"/>
  <c r="K1804" i="1"/>
  <c r="L1804" i="1"/>
  <c r="M1804" i="1"/>
  <c r="N1804" i="1"/>
  <c r="T1804" i="1"/>
  <c r="U1804" i="1"/>
  <c r="Z1804" i="1"/>
  <c r="AA1804" i="1"/>
  <c r="B1805" i="1"/>
  <c r="E1805" i="1"/>
  <c r="K1805" i="1"/>
  <c r="L1805" i="1"/>
  <c r="M1805" i="1"/>
  <c r="N1805" i="1"/>
  <c r="T1805" i="1"/>
  <c r="U1805" i="1"/>
  <c r="Z1805" i="1"/>
  <c r="AA1805" i="1"/>
  <c r="B1806" i="1"/>
  <c r="E1806" i="1"/>
  <c r="K1806" i="1"/>
  <c r="L1806" i="1"/>
  <c r="M1806" i="1"/>
  <c r="N1806" i="1"/>
  <c r="T1806" i="1"/>
  <c r="U1806" i="1"/>
  <c r="Z1806" i="1"/>
  <c r="AA1806" i="1"/>
  <c r="B1807" i="1"/>
  <c r="E1807" i="1"/>
  <c r="K1807" i="1"/>
  <c r="L1807" i="1"/>
  <c r="M1807" i="1"/>
  <c r="N1807" i="1"/>
  <c r="T1807" i="1"/>
  <c r="U1807" i="1"/>
  <c r="Z1807" i="1"/>
  <c r="AA1807" i="1"/>
  <c r="B1808" i="1"/>
  <c r="E1808" i="1"/>
  <c r="K1808" i="1"/>
  <c r="L1808" i="1"/>
  <c r="M1808" i="1"/>
  <c r="N1808" i="1"/>
  <c r="T1808" i="1"/>
  <c r="U1808" i="1"/>
  <c r="Z1808" i="1"/>
  <c r="AA1808" i="1"/>
  <c r="B1809" i="1"/>
  <c r="E1809" i="1"/>
  <c r="K1809" i="1"/>
  <c r="L1809" i="1"/>
  <c r="M1809" i="1"/>
  <c r="N1809" i="1"/>
  <c r="T1809" i="1"/>
  <c r="U1809" i="1"/>
  <c r="Z1809" i="1"/>
  <c r="AA1809" i="1"/>
  <c r="B1810" i="1"/>
  <c r="E1810" i="1"/>
  <c r="K1810" i="1"/>
  <c r="L1810" i="1"/>
  <c r="M1810" i="1"/>
  <c r="N1810" i="1"/>
  <c r="T1810" i="1"/>
  <c r="U1810" i="1"/>
  <c r="Z1810" i="1"/>
  <c r="AA1810" i="1"/>
  <c r="B1811" i="1"/>
  <c r="E1811" i="1"/>
  <c r="K1811" i="1"/>
  <c r="L1811" i="1"/>
  <c r="M1811" i="1"/>
  <c r="N1811" i="1"/>
  <c r="T1811" i="1"/>
  <c r="U1811" i="1"/>
  <c r="Z1811" i="1"/>
  <c r="AA1811" i="1"/>
  <c r="B1812" i="1"/>
  <c r="E1812" i="1"/>
  <c r="K1812" i="1"/>
  <c r="L1812" i="1"/>
  <c r="M1812" i="1"/>
  <c r="N1812" i="1"/>
  <c r="T1812" i="1"/>
  <c r="U1812" i="1"/>
  <c r="Z1812" i="1"/>
  <c r="AA1812" i="1"/>
  <c r="B1813" i="1"/>
  <c r="E1813" i="1"/>
  <c r="K1813" i="1"/>
  <c r="L1813" i="1"/>
  <c r="M1813" i="1"/>
  <c r="N1813" i="1"/>
  <c r="T1813" i="1"/>
  <c r="U1813" i="1"/>
  <c r="Z1813" i="1"/>
  <c r="AA1813" i="1"/>
  <c r="B1814" i="1"/>
  <c r="E1814" i="1"/>
  <c r="K1814" i="1"/>
  <c r="L1814" i="1"/>
  <c r="M1814" i="1"/>
  <c r="N1814" i="1"/>
  <c r="T1814" i="1"/>
  <c r="U1814" i="1"/>
  <c r="Z1814" i="1"/>
  <c r="AA1814" i="1"/>
  <c r="B1815" i="1"/>
  <c r="E1815" i="1"/>
  <c r="K1815" i="1"/>
  <c r="L1815" i="1"/>
  <c r="M1815" i="1"/>
  <c r="N1815" i="1"/>
  <c r="T1815" i="1"/>
  <c r="U1815" i="1"/>
  <c r="Z1815" i="1"/>
  <c r="AA1815" i="1"/>
  <c r="B1816" i="1"/>
  <c r="E1816" i="1"/>
  <c r="K1816" i="1"/>
  <c r="L1816" i="1"/>
  <c r="M1816" i="1"/>
  <c r="N1816" i="1"/>
  <c r="T1816" i="1"/>
  <c r="U1816" i="1"/>
  <c r="Z1816" i="1"/>
  <c r="AA1816" i="1"/>
  <c r="B1817" i="1"/>
  <c r="E1817" i="1"/>
  <c r="K1817" i="1"/>
  <c r="L1817" i="1"/>
  <c r="M1817" i="1"/>
  <c r="N1817" i="1"/>
  <c r="T1817" i="1"/>
  <c r="U1817" i="1"/>
  <c r="Z1817" i="1"/>
  <c r="AA1817" i="1"/>
  <c r="B1818" i="1"/>
  <c r="E1818" i="1"/>
  <c r="K1818" i="1"/>
  <c r="L1818" i="1"/>
  <c r="M1818" i="1"/>
  <c r="N1818" i="1"/>
  <c r="T1818" i="1"/>
  <c r="U1818" i="1"/>
  <c r="Z1818" i="1"/>
  <c r="AA1818" i="1"/>
  <c r="B1819" i="1"/>
  <c r="E1819" i="1"/>
  <c r="K1819" i="1"/>
  <c r="L1819" i="1"/>
  <c r="M1819" i="1"/>
  <c r="N1819" i="1"/>
  <c r="T1819" i="1"/>
  <c r="U1819" i="1"/>
  <c r="Z1819" i="1"/>
  <c r="AA1819" i="1"/>
  <c r="B1820" i="1"/>
  <c r="E1820" i="1"/>
  <c r="K1820" i="1"/>
  <c r="L1820" i="1"/>
  <c r="M1820" i="1"/>
  <c r="N1820" i="1"/>
  <c r="T1820" i="1"/>
  <c r="U1820" i="1"/>
  <c r="Z1820" i="1"/>
  <c r="AA1820" i="1"/>
  <c r="B1821" i="1"/>
  <c r="E1821" i="1"/>
  <c r="K1821" i="1"/>
  <c r="L1821" i="1"/>
  <c r="M1821" i="1"/>
  <c r="N1821" i="1"/>
  <c r="T1821" i="1"/>
  <c r="U1821" i="1"/>
  <c r="Z1821" i="1"/>
  <c r="AA1821" i="1"/>
  <c r="B1822" i="1"/>
  <c r="E1822" i="1"/>
  <c r="K1822" i="1"/>
  <c r="L1822" i="1"/>
  <c r="M1822" i="1"/>
  <c r="N1822" i="1"/>
  <c r="T1822" i="1"/>
  <c r="U1822" i="1"/>
  <c r="Z1822" i="1"/>
  <c r="AA1822" i="1"/>
  <c r="B1823" i="1"/>
  <c r="E1823" i="1"/>
  <c r="K1823" i="1"/>
  <c r="L1823" i="1"/>
  <c r="M1823" i="1"/>
  <c r="N1823" i="1"/>
  <c r="T1823" i="1"/>
  <c r="U1823" i="1"/>
  <c r="Z1823" i="1"/>
  <c r="AA1823" i="1"/>
  <c r="B1824" i="1"/>
  <c r="E1824" i="1"/>
  <c r="K1824" i="1"/>
  <c r="L1824" i="1"/>
  <c r="M1824" i="1"/>
  <c r="N1824" i="1"/>
  <c r="T1824" i="1"/>
  <c r="U1824" i="1"/>
  <c r="Z1824" i="1"/>
  <c r="AA1824" i="1"/>
  <c r="B1825" i="1"/>
  <c r="E1825" i="1"/>
  <c r="K1825" i="1"/>
  <c r="L1825" i="1"/>
  <c r="M1825" i="1"/>
  <c r="N1825" i="1"/>
  <c r="T1825" i="1"/>
  <c r="U1825" i="1"/>
  <c r="Z1825" i="1"/>
  <c r="AA1825" i="1"/>
  <c r="B1826" i="1"/>
  <c r="E1826" i="1"/>
  <c r="K1826" i="1"/>
  <c r="L1826" i="1"/>
  <c r="M1826" i="1"/>
  <c r="N1826" i="1"/>
  <c r="T1826" i="1"/>
  <c r="U1826" i="1"/>
  <c r="Z1826" i="1"/>
  <c r="AA1826" i="1"/>
  <c r="B1827" i="1"/>
  <c r="E1827" i="1"/>
  <c r="K1827" i="1"/>
  <c r="L1827" i="1"/>
  <c r="M1827" i="1"/>
  <c r="N1827" i="1"/>
  <c r="T1827" i="1"/>
  <c r="U1827" i="1"/>
  <c r="Z1827" i="1"/>
  <c r="AA1827" i="1"/>
  <c r="B1828" i="1"/>
  <c r="E1828" i="1"/>
  <c r="K1828" i="1"/>
  <c r="L1828" i="1"/>
  <c r="M1828" i="1"/>
  <c r="N1828" i="1"/>
  <c r="T1828" i="1"/>
  <c r="U1828" i="1"/>
  <c r="Z1828" i="1"/>
  <c r="AA1828" i="1"/>
  <c r="B1829" i="1"/>
  <c r="E1829" i="1"/>
  <c r="K1829" i="1"/>
  <c r="L1829" i="1"/>
  <c r="M1829" i="1"/>
  <c r="N1829" i="1"/>
  <c r="T1829" i="1"/>
  <c r="U1829" i="1"/>
  <c r="Z1829" i="1"/>
  <c r="AA1829" i="1"/>
  <c r="B1830" i="1"/>
  <c r="E1830" i="1"/>
  <c r="K1830" i="1"/>
  <c r="L1830" i="1"/>
  <c r="M1830" i="1"/>
  <c r="N1830" i="1"/>
  <c r="T1830" i="1"/>
  <c r="U1830" i="1"/>
  <c r="Z1830" i="1"/>
  <c r="AA1830" i="1"/>
  <c r="B1831" i="1"/>
  <c r="E1831" i="1"/>
  <c r="K1831" i="1"/>
  <c r="L1831" i="1"/>
  <c r="M1831" i="1"/>
  <c r="N1831" i="1"/>
  <c r="T1831" i="1"/>
  <c r="U1831" i="1"/>
  <c r="Z1831" i="1"/>
  <c r="AA1831" i="1"/>
  <c r="B1832" i="1"/>
  <c r="E1832" i="1"/>
  <c r="K1832" i="1"/>
  <c r="L1832" i="1"/>
  <c r="M1832" i="1"/>
  <c r="N1832" i="1"/>
  <c r="T1832" i="1"/>
  <c r="U1832" i="1"/>
  <c r="Z1832" i="1"/>
  <c r="AA1832" i="1"/>
  <c r="B1833" i="1"/>
  <c r="E1833" i="1"/>
  <c r="K1833" i="1"/>
  <c r="L1833" i="1"/>
  <c r="M1833" i="1"/>
  <c r="N1833" i="1"/>
  <c r="T1833" i="1"/>
  <c r="U1833" i="1"/>
  <c r="Z1833" i="1"/>
  <c r="AA1833" i="1"/>
  <c r="B1834" i="1"/>
  <c r="E1834" i="1"/>
  <c r="K1834" i="1"/>
  <c r="L1834" i="1"/>
  <c r="M1834" i="1"/>
  <c r="N1834" i="1"/>
  <c r="T1834" i="1"/>
  <c r="U1834" i="1"/>
  <c r="Z1834" i="1"/>
  <c r="AA1834" i="1"/>
  <c r="B1835" i="1"/>
  <c r="E1835" i="1"/>
  <c r="K1835" i="1"/>
  <c r="L1835" i="1"/>
  <c r="M1835" i="1"/>
  <c r="N1835" i="1"/>
  <c r="T1835" i="1"/>
  <c r="U1835" i="1"/>
  <c r="Z1835" i="1"/>
  <c r="AA1835" i="1"/>
  <c r="B1836" i="1"/>
  <c r="E1836" i="1"/>
  <c r="K1836" i="1"/>
  <c r="L1836" i="1"/>
  <c r="M1836" i="1"/>
  <c r="N1836" i="1"/>
  <c r="T1836" i="1"/>
  <c r="U1836" i="1"/>
  <c r="Z1836" i="1"/>
  <c r="AA1836" i="1"/>
  <c r="B1837" i="1"/>
  <c r="E1837" i="1"/>
  <c r="K1837" i="1"/>
  <c r="L1837" i="1"/>
  <c r="M1837" i="1"/>
  <c r="N1837" i="1"/>
  <c r="T1837" i="1"/>
  <c r="U1837" i="1"/>
  <c r="Z1837" i="1"/>
  <c r="AA1837" i="1"/>
  <c r="B1838" i="1"/>
  <c r="E1838" i="1"/>
  <c r="K1838" i="1"/>
  <c r="L1838" i="1"/>
  <c r="M1838" i="1"/>
  <c r="N1838" i="1"/>
  <c r="T1838" i="1"/>
  <c r="U1838" i="1"/>
  <c r="Z1838" i="1"/>
  <c r="AA1838" i="1"/>
  <c r="B1839" i="1"/>
  <c r="E1839" i="1"/>
  <c r="K1839" i="1"/>
  <c r="L1839" i="1"/>
  <c r="M1839" i="1"/>
  <c r="N1839" i="1"/>
  <c r="T1839" i="1"/>
  <c r="U1839" i="1"/>
  <c r="Z1839" i="1"/>
  <c r="AA1839" i="1"/>
  <c r="B1840" i="1"/>
  <c r="E1840" i="1"/>
  <c r="K1840" i="1"/>
  <c r="L1840" i="1"/>
  <c r="M1840" i="1"/>
  <c r="N1840" i="1"/>
  <c r="T1840" i="1"/>
  <c r="U1840" i="1"/>
  <c r="Z1840" i="1"/>
  <c r="AA1840" i="1"/>
  <c r="B1841" i="1"/>
  <c r="E1841" i="1"/>
  <c r="K1841" i="1"/>
  <c r="L1841" i="1"/>
  <c r="M1841" i="1"/>
  <c r="N1841" i="1"/>
  <c r="T1841" i="1"/>
  <c r="U1841" i="1"/>
  <c r="Z1841" i="1"/>
  <c r="AA1841" i="1"/>
  <c r="B1842" i="1"/>
  <c r="E1842" i="1"/>
  <c r="K1842" i="1"/>
  <c r="L1842" i="1"/>
  <c r="M1842" i="1"/>
  <c r="N1842" i="1"/>
  <c r="T1842" i="1"/>
  <c r="U1842" i="1"/>
  <c r="Z1842" i="1"/>
  <c r="AA1842" i="1"/>
  <c r="B1843" i="1"/>
  <c r="E1843" i="1"/>
  <c r="K1843" i="1"/>
  <c r="L1843" i="1"/>
  <c r="M1843" i="1"/>
  <c r="N1843" i="1"/>
  <c r="T1843" i="1"/>
  <c r="U1843" i="1"/>
  <c r="Z1843" i="1"/>
  <c r="AA1843" i="1"/>
  <c r="B1844" i="1"/>
  <c r="E1844" i="1"/>
  <c r="K1844" i="1"/>
  <c r="L1844" i="1"/>
  <c r="M1844" i="1"/>
  <c r="N1844" i="1"/>
  <c r="T1844" i="1"/>
  <c r="U1844" i="1"/>
  <c r="Z1844" i="1"/>
  <c r="AA1844" i="1"/>
  <c r="B1845" i="1"/>
  <c r="E1845" i="1"/>
  <c r="K1845" i="1"/>
  <c r="L1845" i="1"/>
  <c r="M1845" i="1"/>
  <c r="N1845" i="1"/>
  <c r="T1845" i="1"/>
  <c r="U1845" i="1"/>
  <c r="Z1845" i="1"/>
  <c r="AA1845" i="1"/>
  <c r="B1846" i="1"/>
  <c r="E1846" i="1"/>
  <c r="K1846" i="1"/>
  <c r="L1846" i="1"/>
  <c r="M1846" i="1"/>
  <c r="N1846" i="1"/>
  <c r="T1846" i="1"/>
  <c r="U1846" i="1"/>
  <c r="Z1846" i="1"/>
  <c r="AA1846" i="1"/>
  <c r="B1847" i="1"/>
  <c r="E1847" i="1"/>
  <c r="K1847" i="1"/>
  <c r="L1847" i="1"/>
  <c r="M1847" i="1"/>
  <c r="N1847" i="1"/>
  <c r="T1847" i="1"/>
  <c r="U1847" i="1"/>
  <c r="Z1847" i="1"/>
  <c r="AA1847" i="1"/>
  <c r="B1848" i="1"/>
  <c r="E1848" i="1"/>
  <c r="K1848" i="1"/>
  <c r="L1848" i="1"/>
  <c r="M1848" i="1"/>
  <c r="N1848" i="1"/>
  <c r="T1848" i="1"/>
  <c r="U1848" i="1"/>
  <c r="Z1848" i="1"/>
  <c r="AA1848" i="1"/>
  <c r="B1849" i="1"/>
  <c r="E1849" i="1"/>
  <c r="K1849" i="1"/>
  <c r="L1849" i="1"/>
  <c r="M1849" i="1"/>
  <c r="N1849" i="1"/>
  <c r="T1849" i="1"/>
  <c r="U1849" i="1"/>
  <c r="Z1849" i="1"/>
  <c r="AA1849" i="1"/>
  <c r="B1850" i="1"/>
  <c r="E1850" i="1"/>
  <c r="K1850" i="1"/>
  <c r="L1850" i="1"/>
  <c r="M1850" i="1"/>
  <c r="N1850" i="1"/>
  <c r="T1850" i="1"/>
  <c r="U1850" i="1"/>
  <c r="Z1850" i="1"/>
  <c r="AA1850" i="1"/>
  <c r="B1851" i="1"/>
  <c r="E1851" i="1"/>
  <c r="K1851" i="1"/>
  <c r="L1851" i="1"/>
  <c r="M1851" i="1"/>
  <c r="N1851" i="1"/>
  <c r="T1851" i="1"/>
  <c r="U1851" i="1"/>
  <c r="Z1851" i="1"/>
  <c r="AA1851" i="1"/>
  <c r="B1852" i="1"/>
  <c r="E1852" i="1"/>
  <c r="K1852" i="1"/>
  <c r="L1852" i="1"/>
  <c r="M1852" i="1"/>
  <c r="N1852" i="1"/>
  <c r="T1852" i="1"/>
  <c r="U1852" i="1"/>
  <c r="Z1852" i="1"/>
  <c r="AA1852" i="1"/>
  <c r="B1853" i="1"/>
  <c r="E1853" i="1"/>
  <c r="K1853" i="1"/>
  <c r="L1853" i="1"/>
  <c r="M1853" i="1"/>
  <c r="N1853" i="1"/>
  <c r="T1853" i="1"/>
  <c r="U1853" i="1"/>
  <c r="Z1853" i="1"/>
  <c r="AA1853" i="1"/>
  <c r="B1854" i="1"/>
  <c r="E1854" i="1"/>
  <c r="K1854" i="1"/>
  <c r="L1854" i="1"/>
  <c r="M1854" i="1"/>
  <c r="N1854" i="1"/>
  <c r="T1854" i="1"/>
  <c r="U1854" i="1"/>
  <c r="Z1854" i="1"/>
  <c r="AA1854" i="1"/>
  <c r="B1855" i="1"/>
  <c r="E1855" i="1"/>
  <c r="K1855" i="1"/>
  <c r="L1855" i="1"/>
  <c r="M1855" i="1"/>
  <c r="N1855" i="1"/>
  <c r="T1855" i="1"/>
  <c r="U1855" i="1"/>
  <c r="Z1855" i="1"/>
  <c r="AA1855" i="1"/>
  <c r="B1856" i="1"/>
  <c r="E1856" i="1"/>
  <c r="K1856" i="1"/>
  <c r="L1856" i="1"/>
  <c r="M1856" i="1"/>
  <c r="N1856" i="1"/>
  <c r="T1856" i="1"/>
  <c r="U1856" i="1"/>
  <c r="Z1856" i="1"/>
  <c r="AA1856" i="1"/>
  <c r="B1857" i="1"/>
  <c r="E1857" i="1"/>
  <c r="K1857" i="1"/>
  <c r="L1857" i="1"/>
  <c r="M1857" i="1"/>
  <c r="N1857" i="1"/>
  <c r="T1857" i="1"/>
  <c r="U1857" i="1"/>
  <c r="Z1857" i="1"/>
  <c r="AA1857" i="1"/>
  <c r="B1858" i="1"/>
  <c r="E1858" i="1"/>
  <c r="K1858" i="1"/>
  <c r="L1858" i="1"/>
  <c r="M1858" i="1"/>
  <c r="N1858" i="1"/>
  <c r="T1858" i="1"/>
  <c r="U1858" i="1"/>
  <c r="Z1858" i="1"/>
  <c r="AA1858" i="1"/>
  <c r="B1859" i="1"/>
  <c r="E1859" i="1"/>
  <c r="K1859" i="1"/>
  <c r="L1859" i="1"/>
  <c r="M1859" i="1"/>
  <c r="N1859" i="1"/>
  <c r="T1859" i="1"/>
  <c r="U1859" i="1"/>
  <c r="Z1859" i="1"/>
  <c r="AA1859" i="1"/>
  <c r="B1860" i="1"/>
  <c r="E1860" i="1"/>
  <c r="K1860" i="1"/>
  <c r="L1860" i="1"/>
  <c r="M1860" i="1"/>
  <c r="N1860" i="1"/>
  <c r="T1860" i="1"/>
  <c r="U1860" i="1"/>
  <c r="Z1860" i="1"/>
  <c r="AA1860" i="1"/>
  <c r="B1861" i="1"/>
  <c r="E1861" i="1"/>
  <c r="K1861" i="1"/>
  <c r="L1861" i="1"/>
  <c r="M1861" i="1"/>
  <c r="N1861" i="1"/>
  <c r="T1861" i="1"/>
  <c r="U1861" i="1"/>
  <c r="Z1861" i="1"/>
  <c r="AA1861" i="1"/>
  <c r="B1862" i="1"/>
  <c r="E1862" i="1"/>
  <c r="K1862" i="1"/>
  <c r="L1862" i="1"/>
  <c r="M1862" i="1"/>
  <c r="N1862" i="1"/>
  <c r="T1862" i="1"/>
  <c r="U1862" i="1"/>
  <c r="Z1862" i="1"/>
  <c r="AA1862" i="1"/>
  <c r="B1863" i="1"/>
  <c r="E1863" i="1"/>
  <c r="K1863" i="1"/>
  <c r="L1863" i="1"/>
  <c r="M1863" i="1"/>
  <c r="N1863" i="1"/>
  <c r="T1863" i="1"/>
  <c r="U1863" i="1"/>
  <c r="Z1863" i="1"/>
  <c r="AA1863" i="1"/>
  <c r="B1864" i="1"/>
  <c r="E1864" i="1"/>
  <c r="K1864" i="1"/>
  <c r="L1864" i="1"/>
  <c r="M1864" i="1"/>
  <c r="N1864" i="1"/>
  <c r="T1864" i="1"/>
  <c r="U1864" i="1"/>
  <c r="Z1864" i="1"/>
  <c r="AA1864" i="1"/>
  <c r="B1865" i="1"/>
  <c r="E1865" i="1"/>
  <c r="K1865" i="1"/>
  <c r="L1865" i="1"/>
  <c r="M1865" i="1"/>
  <c r="N1865" i="1"/>
  <c r="T1865" i="1"/>
  <c r="U1865" i="1"/>
  <c r="Z1865" i="1"/>
  <c r="AA1865" i="1"/>
  <c r="B1866" i="1"/>
  <c r="E1866" i="1"/>
  <c r="K1866" i="1"/>
  <c r="L1866" i="1"/>
  <c r="M1866" i="1"/>
  <c r="N1866" i="1"/>
  <c r="T1866" i="1"/>
  <c r="U1866" i="1"/>
  <c r="Z1866" i="1"/>
  <c r="AA1866" i="1"/>
  <c r="B1867" i="1"/>
  <c r="E1867" i="1"/>
  <c r="K1867" i="1"/>
  <c r="L1867" i="1"/>
  <c r="M1867" i="1"/>
  <c r="N1867" i="1"/>
  <c r="T1867" i="1"/>
  <c r="U1867" i="1"/>
  <c r="Z1867" i="1"/>
  <c r="AA1867" i="1"/>
  <c r="B1868" i="1"/>
  <c r="E1868" i="1"/>
  <c r="K1868" i="1"/>
  <c r="L1868" i="1"/>
  <c r="M1868" i="1"/>
  <c r="N1868" i="1"/>
  <c r="T1868" i="1"/>
  <c r="U1868" i="1"/>
  <c r="Z1868" i="1"/>
  <c r="AA1868" i="1"/>
  <c r="B1869" i="1"/>
  <c r="E1869" i="1"/>
  <c r="K1869" i="1"/>
  <c r="L1869" i="1"/>
  <c r="M1869" i="1"/>
  <c r="N1869" i="1"/>
  <c r="T1869" i="1"/>
  <c r="U1869" i="1"/>
  <c r="Z1869" i="1"/>
  <c r="AA1869" i="1"/>
  <c r="B1870" i="1"/>
  <c r="E1870" i="1"/>
  <c r="K1870" i="1"/>
  <c r="L1870" i="1"/>
  <c r="M1870" i="1"/>
  <c r="N1870" i="1"/>
  <c r="T1870" i="1"/>
  <c r="U1870" i="1"/>
  <c r="Z1870" i="1"/>
  <c r="AA1870" i="1"/>
  <c r="B1871" i="1"/>
  <c r="E1871" i="1"/>
  <c r="K1871" i="1"/>
  <c r="L1871" i="1"/>
  <c r="M1871" i="1"/>
  <c r="N1871" i="1"/>
  <c r="T1871" i="1"/>
  <c r="U1871" i="1"/>
  <c r="Z1871" i="1"/>
  <c r="AA1871" i="1"/>
  <c r="B1872" i="1"/>
  <c r="E1872" i="1"/>
  <c r="K1872" i="1"/>
  <c r="L1872" i="1"/>
  <c r="M1872" i="1"/>
  <c r="N1872" i="1"/>
  <c r="T1872" i="1"/>
  <c r="U1872" i="1"/>
  <c r="Z1872" i="1"/>
  <c r="AA1872" i="1"/>
  <c r="B1873" i="1"/>
  <c r="E1873" i="1"/>
  <c r="K1873" i="1"/>
  <c r="L1873" i="1"/>
  <c r="M1873" i="1"/>
  <c r="N1873" i="1"/>
  <c r="T1873" i="1"/>
  <c r="U1873" i="1"/>
  <c r="Z1873" i="1"/>
  <c r="AA1873" i="1"/>
  <c r="B1874" i="1"/>
  <c r="E1874" i="1"/>
  <c r="K1874" i="1"/>
  <c r="L1874" i="1"/>
  <c r="M1874" i="1"/>
  <c r="N1874" i="1"/>
  <c r="T1874" i="1"/>
  <c r="U1874" i="1"/>
  <c r="Z1874" i="1"/>
  <c r="AA1874" i="1"/>
  <c r="B1875" i="1"/>
  <c r="E1875" i="1"/>
  <c r="K1875" i="1"/>
  <c r="L1875" i="1"/>
  <c r="M1875" i="1"/>
  <c r="N1875" i="1"/>
  <c r="T1875" i="1"/>
  <c r="U1875" i="1"/>
  <c r="Z1875" i="1"/>
  <c r="AA1875" i="1"/>
  <c r="B1876" i="1"/>
  <c r="E1876" i="1"/>
  <c r="K1876" i="1"/>
  <c r="L1876" i="1"/>
  <c r="M1876" i="1"/>
  <c r="N1876" i="1"/>
  <c r="T1876" i="1"/>
  <c r="U1876" i="1"/>
  <c r="Z1876" i="1"/>
  <c r="AA1876" i="1"/>
  <c r="B1877" i="1"/>
  <c r="E1877" i="1"/>
  <c r="K1877" i="1"/>
  <c r="L1877" i="1"/>
  <c r="M1877" i="1"/>
  <c r="N1877" i="1"/>
  <c r="T1877" i="1"/>
  <c r="U1877" i="1"/>
  <c r="Z1877" i="1"/>
  <c r="AA1877" i="1"/>
  <c r="B1878" i="1"/>
  <c r="E1878" i="1"/>
  <c r="K1878" i="1"/>
  <c r="L1878" i="1"/>
  <c r="M1878" i="1"/>
  <c r="N1878" i="1"/>
  <c r="T1878" i="1"/>
  <c r="U1878" i="1"/>
  <c r="Z1878" i="1"/>
  <c r="AA1878" i="1"/>
  <c r="B1879" i="1"/>
  <c r="E1879" i="1"/>
  <c r="K1879" i="1"/>
  <c r="L1879" i="1"/>
  <c r="M1879" i="1"/>
  <c r="N1879" i="1"/>
  <c r="T1879" i="1"/>
  <c r="U1879" i="1"/>
  <c r="Z1879" i="1"/>
  <c r="AA1879" i="1"/>
  <c r="B1880" i="1"/>
  <c r="E1880" i="1"/>
  <c r="K1880" i="1"/>
  <c r="L1880" i="1"/>
  <c r="M1880" i="1"/>
  <c r="N1880" i="1"/>
  <c r="T1880" i="1"/>
  <c r="U1880" i="1"/>
  <c r="Z1880" i="1"/>
  <c r="AA1880" i="1"/>
  <c r="B1881" i="1"/>
  <c r="E1881" i="1"/>
  <c r="K1881" i="1"/>
  <c r="L1881" i="1"/>
  <c r="M1881" i="1"/>
  <c r="N1881" i="1"/>
  <c r="T1881" i="1"/>
  <c r="U1881" i="1"/>
  <c r="Z1881" i="1"/>
  <c r="AA1881" i="1"/>
  <c r="B1882" i="1"/>
  <c r="E1882" i="1"/>
  <c r="K1882" i="1"/>
  <c r="L1882" i="1"/>
  <c r="M1882" i="1"/>
  <c r="N1882" i="1"/>
  <c r="T1882" i="1"/>
  <c r="U1882" i="1"/>
  <c r="Z1882" i="1"/>
  <c r="AA1882" i="1"/>
  <c r="B1883" i="1"/>
  <c r="E1883" i="1"/>
  <c r="K1883" i="1"/>
  <c r="L1883" i="1"/>
  <c r="M1883" i="1"/>
  <c r="N1883" i="1"/>
  <c r="T1883" i="1"/>
  <c r="U1883" i="1"/>
  <c r="Z1883" i="1"/>
  <c r="AA1883" i="1"/>
  <c r="B1884" i="1"/>
  <c r="E1884" i="1"/>
  <c r="K1884" i="1"/>
  <c r="L1884" i="1"/>
  <c r="M1884" i="1"/>
  <c r="N1884" i="1"/>
  <c r="T1884" i="1"/>
  <c r="U1884" i="1"/>
  <c r="Z1884" i="1"/>
  <c r="AA1884" i="1"/>
  <c r="B1885" i="1"/>
  <c r="E1885" i="1"/>
  <c r="K1885" i="1"/>
  <c r="L1885" i="1"/>
  <c r="M1885" i="1"/>
  <c r="N1885" i="1"/>
  <c r="T1885" i="1"/>
  <c r="U1885" i="1"/>
  <c r="Z1885" i="1"/>
  <c r="AA1885" i="1"/>
  <c r="B1886" i="1"/>
  <c r="E1886" i="1"/>
  <c r="K1886" i="1"/>
  <c r="L1886" i="1"/>
  <c r="M1886" i="1"/>
  <c r="N1886" i="1"/>
  <c r="T1886" i="1"/>
  <c r="U1886" i="1"/>
  <c r="Z1886" i="1"/>
  <c r="AA1886" i="1"/>
  <c r="B1887" i="1"/>
  <c r="E1887" i="1"/>
  <c r="K1887" i="1"/>
  <c r="L1887" i="1"/>
  <c r="M1887" i="1"/>
  <c r="N1887" i="1"/>
  <c r="T1887" i="1"/>
  <c r="U1887" i="1"/>
  <c r="Z1887" i="1"/>
  <c r="AA1887" i="1"/>
  <c r="B1888" i="1"/>
  <c r="E1888" i="1"/>
  <c r="K1888" i="1"/>
  <c r="L1888" i="1"/>
  <c r="M1888" i="1"/>
  <c r="N1888" i="1"/>
  <c r="T1888" i="1"/>
  <c r="U1888" i="1"/>
  <c r="Z1888" i="1"/>
  <c r="AA1888" i="1"/>
  <c r="B1889" i="1"/>
  <c r="E1889" i="1"/>
  <c r="K1889" i="1"/>
  <c r="L1889" i="1"/>
  <c r="M1889" i="1"/>
  <c r="N1889" i="1"/>
  <c r="T1889" i="1"/>
  <c r="U1889" i="1"/>
  <c r="Z1889" i="1"/>
  <c r="AA1889" i="1"/>
  <c r="B1890" i="1"/>
  <c r="E1890" i="1"/>
  <c r="K1890" i="1"/>
  <c r="L1890" i="1"/>
  <c r="M1890" i="1"/>
  <c r="N1890" i="1"/>
  <c r="T1890" i="1"/>
  <c r="U1890" i="1"/>
  <c r="Z1890" i="1"/>
  <c r="AA1890" i="1"/>
  <c r="B1891" i="1"/>
  <c r="E1891" i="1"/>
  <c r="K1891" i="1"/>
  <c r="L1891" i="1"/>
  <c r="M1891" i="1"/>
  <c r="N1891" i="1"/>
  <c r="T1891" i="1"/>
  <c r="U1891" i="1"/>
  <c r="Z1891" i="1"/>
  <c r="AA1891" i="1"/>
  <c r="B1892" i="1"/>
  <c r="E1892" i="1"/>
  <c r="K1892" i="1"/>
  <c r="L1892" i="1"/>
  <c r="M1892" i="1"/>
  <c r="N1892" i="1"/>
  <c r="T1892" i="1"/>
  <c r="U1892" i="1"/>
  <c r="Z1892" i="1"/>
  <c r="AA1892" i="1"/>
  <c r="B1893" i="1"/>
  <c r="E1893" i="1"/>
  <c r="K1893" i="1"/>
  <c r="L1893" i="1"/>
  <c r="M1893" i="1"/>
  <c r="N1893" i="1"/>
  <c r="T1893" i="1"/>
  <c r="U1893" i="1"/>
  <c r="Z1893" i="1"/>
  <c r="AA1893" i="1"/>
  <c r="B1894" i="1"/>
  <c r="E1894" i="1"/>
  <c r="K1894" i="1"/>
  <c r="L1894" i="1"/>
  <c r="M1894" i="1"/>
  <c r="N1894" i="1"/>
  <c r="T1894" i="1"/>
  <c r="U1894" i="1"/>
  <c r="Z1894" i="1"/>
  <c r="AA1894" i="1"/>
  <c r="B1895" i="1"/>
  <c r="E1895" i="1"/>
  <c r="K1895" i="1"/>
  <c r="L1895" i="1"/>
  <c r="M1895" i="1"/>
  <c r="N1895" i="1"/>
  <c r="T1895" i="1"/>
  <c r="U1895" i="1"/>
  <c r="Z1895" i="1"/>
  <c r="AA1895" i="1"/>
  <c r="B1896" i="1"/>
  <c r="E1896" i="1"/>
  <c r="K1896" i="1"/>
  <c r="L1896" i="1"/>
  <c r="M1896" i="1"/>
  <c r="N1896" i="1"/>
  <c r="T1896" i="1"/>
  <c r="U1896" i="1"/>
  <c r="Z1896" i="1"/>
  <c r="AA1896" i="1"/>
  <c r="B1897" i="1"/>
  <c r="E1897" i="1"/>
  <c r="K1897" i="1"/>
  <c r="L1897" i="1"/>
  <c r="M1897" i="1"/>
  <c r="N1897" i="1"/>
  <c r="T1897" i="1"/>
  <c r="U1897" i="1"/>
  <c r="Z1897" i="1"/>
  <c r="AA1897" i="1"/>
  <c r="B1898" i="1"/>
  <c r="E1898" i="1"/>
  <c r="K1898" i="1"/>
  <c r="L1898" i="1"/>
  <c r="M1898" i="1"/>
  <c r="N1898" i="1"/>
  <c r="T1898" i="1"/>
  <c r="U1898" i="1"/>
  <c r="Z1898" i="1"/>
  <c r="AA1898" i="1"/>
  <c r="B1899" i="1"/>
  <c r="E1899" i="1"/>
  <c r="K1899" i="1"/>
  <c r="L1899" i="1"/>
  <c r="M1899" i="1"/>
  <c r="N1899" i="1"/>
  <c r="T1899" i="1"/>
  <c r="U1899" i="1"/>
  <c r="Z1899" i="1"/>
  <c r="AA1899" i="1"/>
  <c r="B1900" i="1"/>
  <c r="E1900" i="1"/>
  <c r="K1900" i="1"/>
  <c r="L1900" i="1"/>
  <c r="M1900" i="1"/>
  <c r="N1900" i="1"/>
  <c r="T1900" i="1"/>
  <c r="U1900" i="1"/>
  <c r="Z1900" i="1"/>
  <c r="AA1900" i="1"/>
  <c r="B1901" i="1"/>
  <c r="E1901" i="1"/>
  <c r="K1901" i="1"/>
  <c r="L1901" i="1"/>
  <c r="M1901" i="1"/>
  <c r="N1901" i="1"/>
  <c r="T1901" i="1"/>
  <c r="U1901" i="1"/>
  <c r="Z1901" i="1"/>
  <c r="AA1901" i="1"/>
  <c r="B1902" i="1"/>
  <c r="E1902" i="1"/>
  <c r="K1902" i="1"/>
  <c r="L1902" i="1"/>
  <c r="M1902" i="1"/>
  <c r="N1902" i="1"/>
  <c r="T1902" i="1"/>
  <c r="U1902" i="1"/>
  <c r="Z1902" i="1"/>
  <c r="AA1902" i="1"/>
  <c r="B1903" i="1"/>
  <c r="E1903" i="1"/>
  <c r="K1903" i="1"/>
  <c r="L1903" i="1"/>
  <c r="M1903" i="1"/>
  <c r="N1903" i="1"/>
  <c r="T1903" i="1"/>
  <c r="U1903" i="1"/>
  <c r="Z1903" i="1"/>
  <c r="AA1903" i="1"/>
  <c r="B1904" i="1"/>
  <c r="E1904" i="1"/>
  <c r="K1904" i="1"/>
  <c r="L1904" i="1"/>
  <c r="M1904" i="1"/>
  <c r="N1904" i="1"/>
  <c r="T1904" i="1"/>
  <c r="U1904" i="1"/>
  <c r="Z1904" i="1"/>
  <c r="AA1904" i="1"/>
  <c r="B1905" i="1"/>
  <c r="E1905" i="1"/>
  <c r="K1905" i="1"/>
  <c r="L1905" i="1"/>
  <c r="M1905" i="1"/>
  <c r="N1905" i="1"/>
  <c r="T1905" i="1"/>
  <c r="U1905" i="1"/>
  <c r="Z1905" i="1"/>
  <c r="AA1905" i="1"/>
  <c r="B1906" i="1"/>
  <c r="E1906" i="1"/>
  <c r="K1906" i="1"/>
  <c r="L1906" i="1"/>
  <c r="M1906" i="1"/>
  <c r="N1906" i="1"/>
  <c r="T1906" i="1"/>
  <c r="U1906" i="1"/>
  <c r="Z1906" i="1"/>
  <c r="AA1906" i="1"/>
  <c r="B1907" i="1"/>
  <c r="E1907" i="1"/>
  <c r="K1907" i="1"/>
  <c r="L1907" i="1"/>
  <c r="M1907" i="1"/>
  <c r="N1907" i="1"/>
  <c r="T1907" i="1"/>
  <c r="U1907" i="1"/>
  <c r="Z1907" i="1"/>
  <c r="AA1907" i="1"/>
  <c r="B1908" i="1"/>
  <c r="E1908" i="1"/>
  <c r="K1908" i="1"/>
  <c r="L1908" i="1"/>
  <c r="M1908" i="1"/>
  <c r="N1908" i="1"/>
  <c r="T1908" i="1"/>
  <c r="U1908" i="1"/>
  <c r="Z1908" i="1"/>
  <c r="AA1908" i="1"/>
  <c r="B1909" i="1"/>
  <c r="E1909" i="1"/>
  <c r="K1909" i="1"/>
  <c r="L1909" i="1"/>
  <c r="M1909" i="1"/>
  <c r="N1909" i="1"/>
  <c r="T1909" i="1"/>
  <c r="U1909" i="1"/>
  <c r="Z1909" i="1"/>
  <c r="AA1909" i="1"/>
  <c r="B1910" i="1"/>
  <c r="E1910" i="1"/>
  <c r="K1910" i="1"/>
  <c r="L1910" i="1"/>
  <c r="M1910" i="1"/>
  <c r="N1910" i="1"/>
  <c r="T1910" i="1"/>
  <c r="U1910" i="1"/>
  <c r="Z1910" i="1"/>
  <c r="AA1910" i="1"/>
  <c r="B1911" i="1"/>
  <c r="E1911" i="1"/>
  <c r="K1911" i="1"/>
  <c r="L1911" i="1"/>
  <c r="M1911" i="1"/>
  <c r="N1911" i="1"/>
  <c r="T1911" i="1"/>
  <c r="U1911" i="1"/>
  <c r="Z1911" i="1"/>
  <c r="AA1911" i="1"/>
  <c r="B1912" i="1"/>
  <c r="E1912" i="1"/>
  <c r="K1912" i="1"/>
  <c r="L1912" i="1"/>
  <c r="M1912" i="1"/>
  <c r="N1912" i="1"/>
  <c r="T1912" i="1"/>
  <c r="U1912" i="1"/>
  <c r="Z1912" i="1"/>
  <c r="AA1912" i="1"/>
  <c r="B1913" i="1"/>
  <c r="E1913" i="1"/>
  <c r="K1913" i="1"/>
  <c r="L1913" i="1"/>
  <c r="M1913" i="1"/>
  <c r="N1913" i="1"/>
  <c r="T1913" i="1"/>
  <c r="U1913" i="1"/>
  <c r="Z1913" i="1"/>
  <c r="AA1913" i="1"/>
  <c r="B1914" i="1"/>
  <c r="E1914" i="1"/>
  <c r="K1914" i="1"/>
  <c r="L1914" i="1"/>
  <c r="M1914" i="1"/>
  <c r="N1914" i="1"/>
  <c r="T1914" i="1"/>
  <c r="U1914" i="1"/>
  <c r="Z1914" i="1"/>
  <c r="AA1914" i="1"/>
  <c r="B1915" i="1"/>
  <c r="E1915" i="1"/>
  <c r="K1915" i="1"/>
  <c r="L1915" i="1"/>
  <c r="M1915" i="1"/>
  <c r="N1915" i="1"/>
  <c r="T1915" i="1"/>
  <c r="U1915" i="1"/>
  <c r="Z1915" i="1"/>
  <c r="AA1915" i="1"/>
  <c r="B1916" i="1"/>
  <c r="E1916" i="1"/>
  <c r="K1916" i="1"/>
  <c r="L1916" i="1"/>
  <c r="M1916" i="1"/>
  <c r="N1916" i="1"/>
  <c r="T1916" i="1"/>
  <c r="U1916" i="1"/>
  <c r="Z1916" i="1"/>
  <c r="AA1916" i="1"/>
  <c r="B1917" i="1"/>
  <c r="E1917" i="1"/>
  <c r="K1917" i="1"/>
  <c r="L1917" i="1"/>
  <c r="M1917" i="1"/>
  <c r="N1917" i="1"/>
  <c r="T1917" i="1"/>
  <c r="U1917" i="1"/>
  <c r="Z1917" i="1"/>
  <c r="AA1917" i="1"/>
  <c r="B1918" i="1"/>
  <c r="E1918" i="1"/>
  <c r="K1918" i="1"/>
  <c r="L1918" i="1"/>
  <c r="M1918" i="1"/>
  <c r="N1918" i="1"/>
  <c r="T1918" i="1"/>
  <c r="U1918" i="1"/>
  <c r="Z1918" i="1"/>
  <c r="AA1918" i="1"/>
  <c r="B1919" i="1"/>
  <c r="E1919" i="1"/>
  <c r="K1919" i="1"/>
  <c r="L1919" i="1"/>
  <c r="M1919" i="1"/>
  <c r="N1919" i="1"/>
  <c r="T1919" i="1"/>
  <c r="U1919" i="1"/>
  <c r="Z1919" i="1"/>
  <c r="AA1919" i="1"/>
  <c r="B1920" i="1"/>
  <c r="E1920" i="1"/>
  <c r="K1920" i="1"/>
  <c r="L1920" i="1"/>
  <c r="M1920" i="1"/>
  <c r="N1920" i="1"/>
  <c r="T1920" i="1"/>
  <c r="U1920" i="1"/>
  <c r="Z1920" i="1"/>
  <c r="AA1920" i="1"/>
  <c r="B1921" i="1"/>
  <c r="E1921" i="1"/>
  <c r="K1921" i="1"/>
  <c r="L1921" i="1"/>
  <c r="M1921" i="1"/>
  <c r="N1921" i="1"/>
  <c r="T1921" i="1"/>
  <c r="U1921" i="1"/>
  <c r="Z1921" i="1"/>
  <c r="AA1921" i="1"/>
  <c r="B1922" i="1"/>
  <c r="E1922" i="1"/>
  <c r="K1922" i="1"/>
  <c r="L1922" i="1"/>
  <c r="M1922" i="1"/>
  <c r="N1922" i="1"/>
  <c r="T1922" i="1"/>
  <c r="U1922" i="1"/>
  <c r="Z1922" i="1"/>
  <c r="AA1922" i="1"/>
  <c r="B1923" i="1"/>
  <c r="E1923" i="1"/>
  <c r="K1923" i="1"/>
  <c r="L1923" i="1"/>
  <c r="M1923" i="1"/>
  <c r="N1923" i="1"/>
  <c r="T1923" i="1"/>
  <c r="U1923" i="1"/>
  <c r="Z1923" i="1"/>
  <c r="AA1923" i="1"/>
  <c r="B1924" i="1"/>
  <c r="E1924" i="1"/>
  <c r="K1924" i="1"/>
  <c r="L1924" i="1"/>
  <c r="M1924" i="1"/>
  <c r="N1924" i="1"/>
  <c r="T1924" i="1"/>
  <c r="U1924" i="1"/>
  <c r="Z1924" i="1"/>
  <c r="AA1924" i="1"/>
  <c r="B1925" i="1"/>
  <c r="E1925" i="1"/>
  <c r="K1925" i="1"/>
  <c r="L1925" i="1"/>
  <c r="M1925" i="1"/>
  <c r="N1925" i="1"/>
  <c r="T1925" i="1"/>
  <c r="U1925" i="1"/>
  <c r="Z1925" i="1"/>
  <c r="AA1925" i="1"/>
  <c r="B1926" i="1"/>
  <c r="E1926" i="1"/>
  <c r="K1926" i="1"/>
  <c r="L1926" i="1"/>
  <c r="M1926" i="1"/>
  <c r="N1926" i="1"/>
  <c r="T1926" i="1"/>
  <c r="U1926" i="1"/>
  <c r="Z1926" i="1"/>
  <c r="AA1926" i="1"/>
  <c r="B1927" i="1"/>
  <c r="E1927" i="1"/>
  <c r="K1927" i="1"/>
  <c r="L1927" i="1"/>
  <c r="M1927" i="1"/>
  <c r="N1927" i="1"/>
  <c r="T1927" i="1"/>
  <c r="U1927" i="1"/>
  <c r="Z1927" i="1"/>
  <c r="AA1927" i="1"/>
  <c r="B1928" i="1"/>
  <c r="E1928" i="1"/>
  <c r="K1928" i="1"/>
  <c r="L1928" i="1"/>
  <c r="M1928" i="1"/>
  <c r="N1928" i="1"/>
  <c r="T1928" i="1"/>
  <c r="U1928" i="1"/>
  <c r="Z1928" i="1"/>
  <c r="AA1928" i="1"/>
  <c r="B1929" i="1"/>
  <c r="E1929" i="1"/>
  <c r="K1929" i="1"/>
  <c r="L1929" i="1"/>
  <c r="M1929" i="1"/>
  <c r="N1929" i="1"/>
  <c r="T1929" i="1"/>
  <c r="U1929" i="1"/>
  <c r="Z1929" i="1"/>
  <c r="AA1929" i="1"/>
  <c r="B1930" i="1"/>
  <c r="E1930" i="1"/>
  <c r="K1930" i="1"/>
  <c r="L1930" i="1"/>
  <c r="M1930" i="1"/>
  <c r="N1930" i="1"/>
  <c r="T1930" i="1"/>
  <c r="U1930" i="1"/>
  <c r="Z1930" i="1"/>
  <c r="AA1930" i="1"/>
  <c r="B1931" i="1"/>
  <c r="E1931" i="1"/>
  <c r="K1931" i="1"/>
  <c r="L1931" i="1"/>
  <c r="M1931" i="1"/>
  <c r="N1931" i="1"/>
  <c r="T1931" i="1"/>
  <c r="U1931" i="1"/>
  <c r="Z1931" i="1"/>
  <c r="AA1931" i="1"/>
  <c r="B1932" i="1"/>
  <c r="E1932" i="1"/>
  <c r="K1932" i="1"/>
  <c r="L1932" i="1"/>
  <c r="M1932" i="1"/>
  <c r="N1932" i="1"/>
  <c r="T1932" i="1"/>
  <c r="U1932" i="1"/>
  <c r="Z1932" i="1"/>
  <c r="AA1932" i="1"/>
  <c r="B1933" i="1"/>
  <c r="E1933" i="1"/>
  <c r="K1933" i="1"/>
  <c r="L1933" i="1"/>
  <c r="M1933" i="1"/>
  <c r="N1933" i="1"/>
  <c r="T1933" i="1"/>
  <c r="U1933" i="1"/>
  <c r="Z1933" i="1"/>
  <c r="AA1933" i="1"/>
  <c r="B1934" i="1"/>
  <c r="E1934" i="1"/>
  <c r="K1934" i="1"/>
  <c r="L1934" i="1"/>
  <c r="M1934" i="1"/>
  <c r="N1934" i="1"/>
  <c r="T1934" i="1"/>
  <c r="U1934" i="1"/>
  <c r="Z1934" i="1"/>
  <c r="AA1934" i="1"/>
  <c r="B1935" i="1"/>
  <c r="E1935" i="1"/>
  <c r="K1935" i="1"/>
  <c r="L1935" i="1"/>
  <c r="M1935" i="1"/>
  <c r="N1935" i="1"/>
  <c r="T1935" i="1"/>
  <c r="U1935" i="1"/>
  <c r="Z1935" i="1"/>
  <c r="AA1935" i="1"/>
  <c r="B1936" i="1"/>
  <c r="E1936" i="1"/>
  <c r="K1936" i="1"/>
  <c r="L1936" i="1"/>
  <c r="M1936" i="1"/>
  <c r="N1936" i="1"/>
  <c r="T1936" i="1"/>
  <c r="U1936" i="1"/>
  <c r="Z1936" i="1"/>
  <c r="AA1936" i="1"/>
  <c r="B1937" i="1"/>
  <c r="E1937" i="1"/>
  <c r="K1937" i="1"/>
  <c r="L1937" i="1"/>
  <c r="M1937" i="1"/>
  <c r="N1937" i="1"/>
  <c r="T1937" i="1"/>
  <c r="U1937" i="1"/>
  <c r="Z1937" i="1"/>
  <c r="AA1937" i="1"/>
  <c r="B1938" i="1"/>
  <c r="E1938" i="1"/>
  <c r="K1938" i="1"/>
  <c r="L1938" i="1"/>
  <c r="M1938" i="1"/>
  <c r="N1938" i="1"/>
  <c r="T1938" i="1"/>
  <c r="U1938" i="1"/>
  <c r="Z1938" i="1"/>
  <c r="AA1938" i="1"/>
  <c r="B1939" i="1"/>
  <c r="E1939" i="1"/>
  <c r="K1939" i="1"/>
  <c r="L1939" i="1"/>
  <c r="M1939" i="1"/>
  <c r="N1939" i="1"/>
  <c r="T1939" i="1"/>
  <c r="U1939" i="1"/>
  <c r="Z1939" i="1"/>
  <c r="AA1939" i="1"/>
  <c r="B1940" i="1"/>
  <c r="E1940" i="1"/>
  <c r="K1940" i="1"/>
  <c r="L1940" i="1"/>
  <c r="M1940" i="1"/>
  <c r="N1940" i="1"/>
  <c r="T1940" i="1"/>
  <c r="U1940" i="1"/>
  <c r="Z1940" i="1"/>
  <c r="AA1940" i="1"/>
  <c r="B1941" i="1"/>
  <c r="E1941" i="1"/>
  <c r="K1941" i="1"/>
  <c r="L1941" i="1"/>
  <c r="M1941" i="1"/>
  <c r="N1941" i="1"/>
  <c r="T1941" i="1"/>
  <c r="U1941" i="1"/>
  <c r="Z1941" i="1"/>
  <c r="AA1941" i="1"/>
  <c r="B1942" i="1"/>
  <c r="E1942" i="1"/>
  <c r="K1942" i="1"/>
  <c r="L1942" i="1"/>
  <c r="M1942" i="1"/>
  <c r="N1942" i="1"/>
  <c r="T1942" i="1"/>
  <c r="U1942" i="1"/>
  <c r="Z1942" i="1"/>
  <c r="AA1942" i="1"/>
  <c r="B1943" i="1"/>
  <c r="E1943" i="1"/>
  <c r="K1943" i="1"/>
  <c r="L1943" i="1"/>
  <c r="M1943" i="1"/>
  <c r="N1943" i="1"/>
  <c r="T1943" i="1"/>
  <c r="U1943" i="1"/>
  <c r="Z1943" i="1"/>
  <c r="AA1943" i="1"/>
  <c r="B1944" i="1"/>
  <c r="E1944" i="1"/>
  <c r="K1944" i="1"/>
  <c r="L1944" i="1"/>
  <c r="M1944" i="1"/>
  <c r="N1944" i="1"/>
  <c r="T1944" i="1"/>
  <c r="U1944" i="1"/>
  <c r="Z1944" i="1"/>
  <c r="AA1944" i="1"/>
  <c r="B1945" i="1"/>
  <c r="E1945" i="1"/>
  <c r="K1945" i="1"/>
  <c r="L1945" i="1"/>
  <c r="M1945" i="1"/>
  <c r="N1945" i="1"/>
  <c r="T1945" i="1"/>
  <c r="U1945" i="1"/>
  <c r="Z1945" i="1"/>
  <c r="AA1945" i="1"/>
  <c r="B1946" i="1"/>
  <c r="E1946" i="1"/>
  <c r="K1946" i="1"/>
  <c r="L1946" i="1"/>
  <c r="M1946" i="1"/>
  <c r="N1946" i="1"/>
  <c r="T1946" i="1"/>
  <c r="U1946" i="1"/>
  <c r="Z1946" i="1"/>
  <c r="AA1946" i="1"/>
  <c r="B1947" i="1"/>
  <c r="E1947" i="1"/>
  <c r="K1947" i="1"/>
  <c r="L1947" i="1"/>
  <c r="M1947" i="1"/>
  <c r="N1947" i="1"/>
  <c r="T1947" i="1"/>
  <c r="U1947" i="1"/>
  <c r="Z1947" i="1"/>
  <c r="AA1947" i="1"/>
  <c r="B1948" i="1"/>
  <c r="E1948" i="1"/>
  <c r="K1948" i="1"/>
  <c r="L1948" i="1"/>
  <c r="M1948" i="1"/>
  <c r="N1948" i="1"/>
  <c r="T1948" i="1"/>
  <c r="U1948" i="1"/>
  <c r="Z1948" i="1"/>
  <c r="AA1948" i="1"/>
  <c r="B1949" i="1"/>
  <c r="E1949" i="1"/>
  <c r="K1949" i="1"/>
  <c r="L1949" i="1"/>
  <c r="M1949" i="1"/>
  <c r="N1949" i="1"/>
  <c r="T1949" i="1"/>
  <c r="U1949" i="1"/>
  <c r="Z1949" i="1"/>
  <c r="AA1949" i="1"/>
  <c r="B1950" i="1"/>
  <c r="E1950" i="1"/>
  <c r="K1950" i="1"/>
  <c r="L1950" i="1"/>
  <c r="M1950" i="1"/>
  <c r="N1950" i="1"/>
  <c r="T1950" i="1"/>
  <c r="U1950" i="1"/>
  <c r="Z1950" i="1"/>
  <c r="AA1950" i="1"/>
  <c r="B1951" i="1"/>
  <c r="E1951" i="1"/>
  <c r="K1951" i="1"/>
  <c r="L1951" i="1"/>
  <c r="M1951" i="1"/>
  <c r="N1951" i="1"/>
  <c r="T1951" i="1"/>
  <c r="U1951" i="1"/>
  <c r="Z1951" i="1"/>
  <c r="AA1951" i="1"/>
  <c r="B1952" i="1"/>
  <c r="E1952" i="1"/>
  <c r="K1952" i="1"/>
  <c r="L1952" i="1"/>
  <c r="M1952" i="1"/>
  <c r="N1952" i="1"/>
  <c r="T1952" i="1"/>
  <c r="U1952" i="1"/>
  <c r="Z1952" i="1"/>
  <c r="AA1952" i="1"/>
  <c r="B1953" i="1"/>
  <c r="E1953" i="1"/>
  <c r="K1953" i="1"/>
  <c r="L1953" i="1"/>
  <c r="M1953" i="1"/>
  <c r="N1953" i="1"/>
  <c r="T1953" i="1"/>
  <c r="U1953" i="1"/>
  <c r="Z1953" i="1"/>
  <c r="AA1953" i="1"/>
  <c r="B1954" i="1"/>
  <c r="E1954" i="1"/>
  <c r="K1954" i="1"/>
  <c r="L1954" i="1"/>
  <c r="M1954" i="1"/>
  <c r="N1954" i="1"/>
  <c r="T1954" i="1"/>
  <c r="U1954" i="1"/>
  <c r="Z1954" i="1"/>
  <c r="AA1954" i="1"/>
  <c r="B1955" i="1"/>
  <c r="E1955" i="1"/>
  <c r="K1955" i="1"/>
  <c r="L1955" i="1"/>
  <c r="M1955" i="1"/>
  <c r="N1955" i="1"/>
  <c r="T1955" i="1"/>
  <c r="U1955" i="1"/>
  <c r="Z1955" i="1"/>
  <c r="AA1955" i="1"/>
  <c r="B1956" i="1"/>
  <c r="E1956" i="1"/>
  <c r="K1956" i="1"/>
  <c r="L1956" i="1"/>
  <c r="M1956" i="1"/>
  <c r="N1956" i="1"/>
  <c r="T1956" i="1"/>
  <c r="U1956" i="1"/>
  <c r="Z1956" i="1"/>
  <c r="AA1956" i="1"/>
  <c r="B1957" i="1"/>
  <c r="E1957" i="1"/>
  <c r="K1957" i="1"/>
  <c r="L1957" i="1"/>
  <c r="M1957" i="1"/>
  <c r="N1957" i="1"/>
  <c r="T1957" i="1"/>
  <c r="U1957" i="1"/>
  <c r="Z1957" i="1"/>
  <c r="AA1957" i="1"/>
  <c r="B1958" i="1"/>
  <c r="E1958" i="1"/>
  <c r="K1958" i="1"/>
  <c r="L1958" i="1"/>
  <c r="M1958" i="1"/>
  <c r="N1958" i="1"/>
  <c r="T1958" i="1"/>
  <c r="U1958" i="1"/>
  <c r="Z1958" i="1"/>
  <c r="AA1958" i="1"/>
  <c r="B1959" i="1"/>
  <c r="E1959" i="1"/>
  <c r="K1959" i="1"/>
  <c r="L1959" i="1"/>
  <c r="M1959" i="1"/>
  <c r="N1959" i="1"/>
  <c r="T1959" i="1"/>
  <c r="U1959" i="1"/>
  <c r="Z1959" i="1"/>
  <c r="AA1959" i="1"/>
  <c r="B1960" i="1"/>
  <c r="E1960" i="1"/>
  <c r="K1960" i="1"/>
  <c r="L1960" i="1"/>
  <c r="M1960" i="1"/>
  <c r="N1960" i="1"/>
  <c r="T1960" i="1"/>
  <c r="U1960" i="1"/>
  <c r="Z1960" i="1"/>
  <c r="AA1960" i="1"/>
  <c r="B1961" i="1"/>
  <c r="E1961" i="1"/>
  <c r="K1961" i="1"/>
  <c r="L1961" i="1"/>
  <c r="M1961" i="1"/>
  <c r="N1961" i="1"/>
  <c r="T1961" i="1"/>
  <c r="U1961" i="1"/>
  <c r="Z1961" i="1"/>
  <c r="AA1961" i="1"/>
  <c r="B1962" i="1"/>
  <c r="E1962" i="1"/>
  <c r="K1962" i="1"/>
  <c r="L1962" i="1"/>
  <c r="M1962" i="1"/>
  <c r="N1962" i="1"/>
  <c r="T1962" i="1"/>
  <c r="U1962" i="1"/>
  <c r="Z1962" i="1"/>
  <c r="AA1962" i="1"/>
  <c r="B1963" i="1"/>
  <c r="E1963" i="1"/>
  <c r="K1963" i="1"/>
  <c r="L1963" i="1"/>
  <c r="M1963" i="1"/>
  <c r="N1963" i="1"/>
  <c r="T1963" i="1"/>
  <c r="U1963" i="1"/>
  <c r="Z1963" i="1"/>
  <c r="AA1963" i="1"/>
  <c r="B1964" i="1"/>
  <c r="E1964" i="1"/>
  <c r="K1964" i="1"/>
  <c r="L1964" i="1"/>
  <c r="M1964" i="1"/>
  <c r="N1964" i="1"/>
  <c r="T1964" i="1"/>
  <c r="U1964" i="1"/>
  <c r="Z1964" i="1"/>
  <c r="AA1964" i="1"/>
  <c r="B1965" i="1"/>
  <c r="E1965" i="1"/>
  <c r="K1965" i="1"/>
  <c r="L1965" i="1"/>
  <c r="M1965" i="1"/>
  <c r="N1965" i="1"/>
  <c r="T1965" i="1"/>
  <c r="U1965" i="1"/>
  <c r="Z1965" i="1"/>
  <c r="AA1965" i="1"/>
  <c r="B1966" i="1"/>
  <c r="E1966" i="1"/>
  <c r="K1966" i="1"/>
  <c r="L1966" i="1"/>
  <c r="M1966" i="1"/>
  <c r="N1966" i="1"/>
  <c r="T1966" i="1"/>
  <c r="U1966" i="1"/>
  <c r="Z1966" i="1"/>
  <c r="AA1966" i="1"/>
  <c r="B1967" i="1"/>
  <c r="E1967" i="1"/>
  <c r="K1967" i="1"/>
  <c r="L1967" i="1"/>
  <c r="M1967" i="1"/>
  <c r="N1967" i="1"/>
  <c r="T1967" i="1"/>
  <c r="U1967" i="1"/>
  <c r="Z1967" i="1"/>
  <c r="AA1967" i="1"/>
  <c r="B1968" i="1"/>
  <c r="E1968" i="1"/>
  <c r="K1968" i="1"/>
  <c r="L1968" i="1"/>
  <c r="M1968" i="1"/>
  <c r="N1968" i="1"/>
  <c r="T1968" i="1"/>
  <c r="U1968" i="1"/>
  <c r="Z1968" i="1"/>
  <c r="AA1968" i="1"/>
  <c r="B1969" i="1"/>
  <c r="E1969" i="1"/>
  <c r="K1969" i="1"/>
  <c r="L1969" i="1"/>
  <c r="M1969" i="1"/>
  <c r="N1969" i="1"/>
  <c r="T1969" i="1"/>
  <c r="U1969" i="1"/>
  <c r="Z1969" i="1"/>
  <c r="AA1969" i="1"/>
  <c r="B1970" i="1"/>
  <c r="E1970" i="1"/>
  <c r="K1970" i="1"/>
  <c r="L1970" i="1"/>
  <c r="M1970" i="1"/>
  <c r="N1970" i="1"/>
  <c r="T1970" i="1"/>
  <c r="U1970" i="1"/>
  <c r="Z1970" i="1"/>
  <c r="AA1970" i="1"/>
  <c r="B1971" i="1"/>
  <c r="E1971" i="1"/>
  <c r="K1971" i="1"/>
  <c r="L1971" i="1"/>
  <c r="M1971" i="1"/>
  <c r="N1971" i="1"/>
  <c r="T1971" i="1"/>
  <c r="U1971" i="1"/>
  <c r="Z1971" i="1"/>
  <c r="AA1971" i="1"/>
  <c r="B1972" i="1"/>
  <c r="E1972" i="1"/>
  <c r="K1972" i="1"/>
  <c r="L1972" i="1"/>
  <c r="M1972" i="1"/>
  <c r="N1972" i="1"/>
  <c r="T1972" i="1"/>
  <c r="U1972" i="1"/>
  <c r="Z1972" i="1"/>
  <c r="AA1972" i="1"/>
  <c r="B1973" i="1"/>
  <c r="E1973" i="1"/>
  <c r="K1973" i="1"/>
  <c r="L1973" i="1"/>
  <c r="M1973" i="1"/>
  <c r="N1973" i="1"/>
  <c r="T1973" i="1"/>
  <c r="U1973" i="1"/>
  <c r="Z1973" i="1"/>
  <c r="AA1973" i="1"/>
  <c r="B1974" i="1"/>
  <c r="E1974" i="1"/>
  <c r="K1974" i="1"/>
  <c r="L1974" i="1"/>
  <c r="M1974" i="1"/>
  <c r="N1974" i="1"/>
  <c r="T1974" i="1"/>
  <c r="U1974" i="1"/>
  <c r="Z1974" i="1"/>
  <c r="AA1974" i="1"/>
  <c r="B1975" i="1"/>
  <c r="E1975" i="1"/>
  <c r="K1975" i="1"/>
  <c r="L1975" i="1"/>
  <c r="M1975" i="1"/>
  <c r="N1975" i="1"/>
  <c r="T1975" i="1"/>
  <c r="U1975" i="1"/>
  <c r="Z1975" i="1"/>
  <c r="AA1975" i="1"/>
  <c r="B1976" i="1"/>
  <c r="E1976" i="1"/>
  <c r="K1976" i="1"/>
  <c r="L1976" i="1"/>
  <c r="M1976" i="1"/>
  <c r="N1976" i="1"/>
  <c r="T1976" i="1"/>
  <c r="U1976" i="1"/>
  <c r="Z1976" i="1"/>
  <c r="AA1976" i="1"/>
  <c r="B1977" i="1"/>
  <c r="E1977" i="1"/>
  <c r="K1977" i="1"/>
  <c r="L1977" i="1"/>
  <c r="M1977" i="1"/>
  <c r="N1977" i="1"/>
  <c r="T1977" i="1"/>
  <c r="U1977" i="1"/>
  <c r="Z1977" i="1"/>
  <c r="AA1977" i="1"/>
  <c r="B1978" i="1"/>
  <c r="E1978" i="1"/>
  <c r="K1978" i="1"/>
  <c r="L1978" i="1"/>
  <c r="M1978" i="1"/>
  <c r="N1978" i="1"/>
  <c r="T1978" i="1"/>
  <c r="U1978" i="1"/>
  <c r="Z1978" i="1"/>
  <c r="AA1978" i="1"/>
  <c r="B1979" i="1"/>
  <c r="E1979" i="1"/>
  <c r="K1979" i="1"/>
  <c r="L1979" i="1"/>
  <c r="M1979" i="1"/>
  <c r="N1979" i="1"/>
  <c r="T1979" i="1"/>
  <c r="U1979" i="1"/>
  <c r="Z1979" i="1"/>
  <c r="AA1979" i="1"/>
  <c r="B1980" i="1"/>
  <c r="E1980" i="1"/>
  <c r="K1980" i="1"/>
  <c r="L1980" i="1"/>
  <c r="M1980" i="1"/>
  <c r="N1980" i="1"/>
  <c r="T1980" i="1"/>
  <c r="U1980" i="1"/>
  <c r="Z1980" i="1"/>
  <c r="AA1980" i="1"/>
  <c r="B1981" i="1"/>
  <c r="E1981" i="1"/>
  <c r="K1981" i="1"/>
  <c r="L1981" i="1"/>
  <c r="M1981" i="1"/>
  <c r="N1981" i="1"/>
  <c r="T1981" i="1"/>
  <c r="U1981" i="1"/>
  <c r="Z1981" i="1"/>
  <c r="AA1981" i="1"/>
  <c r="B1982" i="1"/>
  <c r="E1982" i="1"/>
  <c r="K1982" i="1"/>
  <c r="L1982" i="1"/>
  <c r="M1982" i="1"/>
  <c r="N1982" i="1"/>
  <c r="T1982" i="1"/>
  <c r="U1982" i="1"/>
  <c r="Z1982" i="1"/>
  <c r="AA1982" i="1"/>
  <c r="B1983" i="1"/>
  <c r="E1983" i="1"/>
  <c r="K1983" i="1"/>
  <c r="L1983" i="1"/>
  <c r="M1983" i="1"/>
  <c r="N1983" i="1"/>
  <c r="T1983" i="1"/>
  <c r="U1983" i="1"/>
  <c r="Z1983" i="1"/>
  <c r="AA1983" i="1"/>
  <c r="B1984" i="1"/>
  <c r="E1984" i="1"/>
  <c r="K1984" i="1"/>
  <c r="L1984" i="1"/>
  <c r="M1984" i="1"/>
  <c r="N1984" i="1"/>
  <c r="T1984" i="1"/>
  <c r="U1984" i="1"/>
  <c r="Z1984" i="1"/>
  <c r="AA1984" i="1"/>
  <c r="B1985" i="1"/>
  <c r="E1985" i="1"/>
  <c r="K1985" i="1"/>
  <c r="L1985" i="1"/>
  <c r="M1985" i="1"/>
  <c r="N1985" i="1"/>
  <c r="T1985" i="1"/>
  <c r="U1985" i="1"/>
  <c r="Z1985" i="1"/>
  <c r="AA1985" i="1"/>
  <c r="B1986" i="1"/>
  <c r="E1986" i="1"/>
  <c r="K1986" i="1"/>
  <c r="L1986" i="1"/>
  <c r="M1986" i="1"/>
  <c r="N1986" i="1"/>
  <c r="T1986" i="1"/>
  <c r="U1986" i="1"/>
  <c r="Z1986" i="1"/>
  <c r="AA1986" i="1"/>
  <c r="B1987" i="1"/>
  <c r="E1987" i="1"/>
  <c r="K1987" i="1"/>
  <c r="L1987" i="1"/>
  <c r="M1987" i="1"/>
  <c r="N1987" i="1"/>
  <c r="T1987" i="1"/>
  <c r="U1987" i="1"/>
  <c r="Z1987" i="1"/>
  <c r="AA1987" i="1"/>
  <c r="B1988" i="1"/>
  <c r="E1988" i="1"/>
  <c r="K1988" i="1"/>
  <c r="L1988" i="1"/>
  <c r="M1988" i="1"/>
  <c r="N1988" i="1"/>
  <c r="T1988" i="1"/>
  <c r="U1988" i="1"/>
  <c r="Z1988" i="1"/>
  <c r="AA1988" i="1"/>
  <c r="B1989" i="1"/>
  <c r="E1989" i="1"/>
  <c r="K1989" i="1"/>
  <c r="L1989" i="1"/>
  <c r="M1989" i="1"/>
  <c r="N1989" i="1"/>
  <c r="T1989" i="1"/>
  <c r="U1989" i="1"/>
  <c r="Z1989" i="1"/>
  <c r="AA1989" i="1"/>
  <c r="B1990" i="1"/>
  <c r="E1990" i="1"/>
  <c r="K1990" i="1"/>
  <c r="L1990" i="1"/>
  <c r="M1990" i="1"/>
  <c r="N1990" i="1"/>
  <c r="T1990" i="1"/>
  <c r="U1990" i="1"/>
  <c r="Z1990" i="1"/>
  <c r="AA1990" i="1"/>
  <c r="B1991" i="1"/>
  <c r="E1991" i="1"/>
  <c r="K1991" i="1"/>
  <c r="L1991" i="1"/>
  <c r="M1991" i="1"/>
  <c r="N1991" i="1"/>
  <c r="T1991" i="1"/>
  <c r="U1991" i="1"/>
  <c r="Z1991" i="1"/>
  <c r="AA1991" i="1"/>
  <c r="B1992" i="1"/>
  <c r="E1992" i="1"/>
  <c r="K1992" i="1"/>
  <c r="L1992" i="1"/>
  <c r="M1992" i="1"/>
  <c r="N1992" i="1"/>
  <c r="T1992" i="1"/>
  <c r="U1992" i="1"/>
  <c r="Z1992" i="1"/>
  <c r="AA1992" i="1"/>
  <c r="B1993" i="1"/>
  <c r="E1993" i="1"/>
  <c r="K1993" i="1"/>
  <c r="L1993" i="1"/>
  <c r="M1993" i="1"/>
  <c r="N1993" i="1"/>
  <c r="T1993" i="1"/>
  <c r="U1993" i="1"/>
  <c r="Z1993" i="1"/>
  <c r="AA1993" i="1"/>
  <c r="B1994" i="1"/>
  <c r="E1994" i="1"/>
  <c r="K1994" i="1"/>
  <c r="L1994" i="1"/>
  <c r="M1994" i="1"/>
  <c r="N1994" i="1"/>
  <c r="T1994" i="1"/>
  <c r="U1994" i="1"/>
  <c r="Z1994" i="1"/>
  <c r="AA1994" i="1"/>
  <c r="B1995" i="1"/>
  <c r="E1995" i="1"/>
  <c r="K1995" i="1"/>
  <c r="L1995" i="1"/>
  <c r="M1995" i="1"/>
  <c r="N1995" i="1"/>
  <c r="T1995" i="1"/>
  <c r="U1995" i="1"/>
  <c r="Z1995" i="1"/>
  <c r="AA1995" i="1"/>
  <c r="B1996" i="1"/>
  <c r="E1996" i="1"/>
  <c r="K1996" i="1"/>
  <c r="L1996" i="1"/>
  <c r="M1996" i="1"/>
  <c r="N1996" i="1"/>
  <c r="T1996" i="1"/>
  <c r="U1996" i="1"/>
  <c r="Z1996" i="1"/>
  <c r="AA1996" i="1"/>
  <c r="B1997" i="1"/>
  <c r="E1997" i="1"/>
  <c r="K1997" i="1"/>
  <c r="L1997" i="1"/>
  <c r="M1997" i="1"/>
  <c r="N1997" i="1"/>
  <c r="T1997" i="1"/>
  <c r="U1997" i="1"/>
  <c r="Z1997" i="1"/>
  <c r="AA1997" i="1"/>
  <c r="B1998" i="1"/>
  <c r="E1998" i="1"/>
  <c r="K1998" i="1"/>
  <c r="L1998" i="1"/>
  <c r="M1998" i="1"/>
  <c r="N1998" i="1"/>
  <c r="T1998" i="1"/>
  <c r="U1998" i="1"/>
  <c r="Z1998" i="1"/>
  <c r="AA1998" i="1"/>
  <c r="B1999" i="1"/>
  <c r="E1999" i="1"/>
  <c r="K1999" i="1"/>
  <c r="L1999" i="1"/>
  <c r="M1999" i="1"/>
  <c r="N1999" i="1"/>
  <c r="T1999" i="1"/>
  <c r="U1999" i="1"/>
  <c r="Z1999" i="1"/>
  <c r="AA1999" i="1"/>
  <c r="B2000" i="1"/>
  <c r="E2000" i="1"/>
  <c r="K2000" i="1"/>
  <c r="L2000" i="1"/>
  <c r="M2000" i="1"/>
  <c r="N2000" i="1"/>
  <c r="T2000" i="1"/>
  <c r="U2000" i="1"/>
  <c r="Z2000" i="1"/>
  <c r="AA2000" i="1"/>
  <c r="B2001" i="1"/>
  <c r="E2001" i="1"/>
  <c r="K2001" i="1"/>
  <c r="L2001" i="1"/>
  <c r="M2001" i="1"/>
  <c r="N2001" i="1"/>
  <c r="T2001" i="1"/>
  <c r="U2001" i="1"/>
  <c r="Z2001" i="1"/>
  <c r="AA2001" i="1"/>
  <c r="B2002" i="1"/>
  <c r="E2002" i="1"/>
  <c r="K2002" i="1"/>
  <c r="L2002" i="1"/>
  <c r="M2002" i="1"/>
  <c r="N2002" i="1"/>
  <c r="T2002" i="1"/>
  <c r="U2002" i="1"/>
  <c r="Z2002" i="1"/>
  <c r="AA2002" i="1"/>
  <c r="B2003" i="1"/>
  <c r="E2003" i="1"/>
  <c r="K2003" i="1"/>
  <c r="L2003" i="1"/>
  <c r="M2003" i="1"/>
  <c r="N2003" i="1"/>
  <c r="T2003" i="1"/>
  <c r="U2003" i="1"/>
  <c r="Z2003" i="1"/>
  <c r="AA2003" i="1"/>
  <c r="B2004" i="1"/>
  <c r="E2004" i="1"/>
  <c r="K2004" i="1"/>
  <c r="L2004" i="1"/>
  <c r="M2004" i="1"/>
  <c r="N2004" i="1"/>
  <c r="T2004" i="1"/>
  <c r="U2004" i="1"/>
  <c r="Z2004" i="1"/>
  <c r="AA2004" i="1"/>
  <c r="B2005" i="1"/>
  <c r="E2005" i="1"/>
  <c r="K2005" i="1"/>
  <c r="L2005" i="1"/>
  <c r="M2005" i="1"/>
  <c r="N2005" i="1"/>
  <c r="T2005" i="1"/>
  <c r="U2005" i="1"/>
  <c r="Z2005" i="1"/>
  <c r="AA2005" i="1"/>
  <c r="B2006" i="1"/>
  <c r="E2006" i="1"/>
  <c r="K2006" i="1"/>
  <c r="L2006" i="1"/>
  <c r="M2006" i="1"/>
  <c r="N2006" i="1"/>
  <c r="T2006" i="1"/>
  <c r="U2006" i="1"/>
  <c r="Z2006" i="1"/>
  <c r="AA2006" i="1"/>
  <c r="B2007" i="1"/>
  <c r="E2007" i="1"/>
  <c r="K2007" i="1"/>
  <c r="L2007" i="1"/>
  <c r="M2007" i="1"/>
  <c r="N2007" i="1"/>
  <c r="T2007" i="1"/>
  <c r="U2007" i="1"/>
  <c r="Z2007" i="1"/>
  <c r="AA2007" i="1"/>
  <c r="B2008" i="1"/>
  <c r="E2008" i="1"/>
  <c r="K2008" i="1"/>
  <c r="L2008" i="1"/>
  <c r="M2008" i="1"/>
  <c r="N2008" i="1"/>
  <c r="T2008" i="1"/>
  <c r="U2008" i="1"/>
  <c r="Z2008" i="1"/>
  <c r="AA2008" i="1"/>
  <c r="B2009" i="1"/>
  <c r="E2009" i="1"/>
  <c r="K2009" i="1"/>
  <c r="L2009" i="1"/>
  <c r="M2009" i="1"/>
  <c r="N2009" i="1"/>
  <c r="T2009" i="1"/>
  <c r="U2009" i="1"/>
  <c r="Z2009" i="1"/>
  <c r="AA2009" i="1"/>
  <c r="B2010" i="1"/>
  <c r="E2010" i="1"/>
  <c r="K2010" i="1"/>
  <c r="L2010" i="1"/>
  <c r="M2010" i="1"/>
  <c r="N2010" i="1"/>
  <c r="T2010" i="1"/>
  <c r="U2010" i="1"/>
  <c r="Z2010" i="1"/>
  <c r="AA2010" i="1"/>
  <c r="B2011" i="1"/>
  <c r="E2011" i="1"/>
  <c r="K2011" i="1"/>
  <c r="L2011" i="1"/>
  <c r="M2011" i="1"/>
  <c r="N2011" i="1"/>
  <c r="T2011" i="1"/>
  <c r="U2011" i="1"/>
  <c r="Z2011" i="1"/>
  <c r="AA2011" i="1"/>
  <c r="B2012" i="1"/>
  <c r="E2012" i="1"/>
  <c r="K2012" i="1"/>
  <c r="L2012" i="1"/>
  <c r="M2012" i="1"/>
  <c r="N2012" i="1"/>
  <c r="T2012" i="1"/>
  <c r="U2012" i="1"/>
  <c r="Z2012" i="1"/>
  <c r="AA2012" i="1"/>
  <c r="B2013" i="1"/>
  <c r="E2013" i="1"/>
  <c r="K2013" i="1"/>
  <c r="L2013" i="1"/>
  <c r="M2013" i="1"/>
  <c r="N2013" i="1"/>
  <c r="T2013" i="1"/>
  <c r="U2013" i="1"/>
  <c r="Z2013" i="1"/>
  <c r="AA2013" i="1"/>
  <c r="B2014" i="1"/>
  <c r="E2014" i="1"/>
  <c r="K2014" i="1"/>
  <c r="L2014" i="1"/>
  <c r="M2014" i="1"/>
  <c r="N2014" i="1"/>
  <c r="T2014" i="1"/>
  <c r="U2014" i="1"/>
  <c r="Z2014" i="1"/>
  <c r="AA2014" i="1"/>
  <c r="B2015" i="1"/>
  <c r="E2015" i="1"/>
  <c r="K2015" i="1"/>
  <c r="L2015" i="1"/>
  <c r="M2015" i="1"/>
  <c r="N2015" i="1"/>
  <c r="T2015" i="1"/>
  <c r="U2015" i="1"/>
  <c r="Z2015" i="1"/>
  <c r="AA2015" i="1"/>
  <c r="B2016" i="1"/>
  <c r="E2016" i="1"/>
  <c r="K2016" i="1"/>
  <c r="L2016" i="1"/>
  <c r="M2016" i="1"/>
  <c r="N2016" i="1"/>
  <c r="T2016" i="1"/>
  <c r="U2016" i="1"/>
  <c r="Z2016" i="1"/>
  <c r="AA2016" i="1"/>
  <c r="B2017" i="1"/>
  <c r="E2017" i="1"/>
  <c r="K2017" i="1"/>
  <c r="L2017" i="1"/>
  <c r="M2017" i="1"/>
  <c r="N2017" i="1"/>
  <c r="T2017" i="1"/>
  <c r="U2017" i="1"/>
  <c r="Z2017" i="1"/>
  <c r="AA2017" i="1"/>
  <c r="B2018" i="1"/>
  <c r="E2018" i="1"/>
  <c r="K2018" i="1"/>
  <c r="L2018" i="1"/>
  <c r="M2018" i="1"/>
  <c r="N2018" i="1"/>
  <c r="T2018" i="1"/>
  <c r="U2018" i="1"/>
  <c r="Z2018" i="1"/>
  <c r="AA2018" i="1"/>
  <c r="B2019" i="1"/>
  <c r="E2019" i="1"/>
  <c r="K2019" i="1"/>
  <c r="L2019" i="1"/>
  <c r="M2019" i="1"/>
  <c r="N2019" i="1"/>
  <c r="T2019" i="1"/>
  <c r="U2019" i="1"/>
  <c r="Z2019" i="1"/>
  <c r="AA2019" i="1"/>
  <c r="B2020" i="1"/>
  <c r="E2020" i="1"/>
  <c r="K2020" i="1"/>
  <c r="L2020" i="1"/>
  <c r="M2020" i="1"/>
  <c r="N2020" i="1"/>
  <c r="T2020" i="1"/>
  <c r="U2020" i="1"/>
  <c r="Z2020" i="1"/>
  <c r="AA2020" i="1"/>
  <c r="B2021" i="1"/>
  <c r="E2021" i="1"/>
  <c r="K2021" i="1"/>
  <c r="L2021" i="1"/>
  <c r="M2021" i="1"/>
  <c r="N2021" i="1"/>
  <c r="T2021" i="1"/>
  <c r="U2021" i="1"/>
  <c r="Z2021" i="1"/>
  <c r="AA2021" i="1"/>
  <c r="B2022" i="1"/>
  <c r="E2022" i="1"/>
  <c r="K2022" i="1"/>
  <c r="L2022" i="1"/>
  <c r="M2022" i="1"/>
  <c r="N2022" i="1"/>
  <c r="T2022" i="1"/>
  <c r="U2022" i="1"/>
  <c r="Z2022" i="1"/>
  <c r="AA2022" i="1"/>
  <c r="B2023" i="1"/>
  <c r="E2023" i="1"/>
  <c r="K2023" i="1"/>
  <c r="L2023" i="1"/>
  <c r="M2023" i="1"/>
  <c r="N2023" i="1"/>
  <c r="T2023" i="1"/>
  <c r="U2023" i="1"/>
  <c r="Z2023" i="1"/>
  <c r="AA2023" i="1"/>
  <c r="B2024" i="1"/>
  <c r="E2024" i="1"/>
  <c r="K2024" i="1"/>
  <c r="L2024" i="1"/>
  <c r="M2024" i="1"/>
  <c r="N2024" i="1"/>
  <c r="T2024" i="1"/>
  <c r="U2024" i="1"/>
  <c r="Z2024" i="1"/>
  <c r="AA2024" i="1"/>
  <c r="B2025" i="1"/>
  <c r="E2025" i="1"/>
  <c r="K2025" i="1"/>
  <c r="L2025" i="1"/>
  <c r="M2025" i="1"/>
  <c r="N2025" i="1"/>
  <c r="T2025" i="1"/>
  <c r="U2025" i="1"/>
  <c r="Z2025" i="1"/>
  <c r="AA2025" i="1"/>
  <c r="B2026" i="1"/>
  <c r="E2026" i="1"/>
  <c r="K2026" i="1"/>
  <c r="L2026" i="1"/>
  <c r="M2026" i="1"/>
  <c r="N2026" i="1"/>
  <c r="T2026" i="1"/>
  <c r="U2026" i="1"/>
  <c r="Z2026" i="1"/>
  <c r="AA2026" i="1"/>
  <c r="B2027" i="1"/>
  <c r="E2027" i="1"/>
  <c r="K2027" i="1"/>
  <c r="L2027" i="1"/>
  <c r="M2027" i="1"/>
  <c r="N2027" i="1"/>
  <c r="T2027" i="1"/>
  <c r="U2027" i="1"/>
  <c r="Z2027" i="1"/>
  <c r="AA2027" i="1"/>
  <c r="B2028" i="1"/>
  <c r="E2028" i="1"/>
  <c r="K2028" i="1"/>
  <c r="L2028" i="1"/>
  <c r="M2028" i="1"/>
  <c r="N2028" i="1"/>
  <c r="T2028" i="1"/>
  <c r="U2028" i="1"/>
  <c r="Z2028" i="1"/>
  <c r="AA2028" i="1"/>
  <c r="B2029" i="1"/>
  <c r="E2029" i="1"/>
  <c r="K2029" i="1"/>
  <c r="L2029" i="1"/>
  <c r="M2029" i="1"/>
  <c r="N2029" i="1"/>
  <c r="T2029" i="1"/>
  <c r="U2029" i="1"/>
  <c r="Z2029" i="1"/>
  <c r="AA2029" i="1"/>
  <c r="B2030" i="1"/>
  <c r="E2030" i="1"/>
  <c r="K2030" i="1"/>
  <c r="L2030" i="1"/>
  <c r="M2030" i="1"/>
  <c r="N2030" i="1"/>
  <c r="T2030" i="1"/>
  <c r="U2030" i="1"/>
  <c r="Z2030" i="1"/>
  <c r="AA2030" i="1"/>
  <c r="B2031" i="1"/>
  <c r="E2031" i="1"/>
  <c r="K2031" i="1"/>
  <c r="L2031" i="1"/>
  <c r="M2031" i="1"/>
  <c r="N2031" i="1"/>
  <c r="T2031" i="1"/>
  <c r="U2031" i="1"/>
  <c r="Z2031" i="1"/>
  <c r="AA2031" i="1"/>
  <c r="B2032" i="1"/>
  <c r="E2032" i="1"/>
  <c r="K2032" i="1"/>
  <c r="L2032" i="1"/>
  <c r="M2032" i="1"/>
  <c r="N2032" i="1"/>
  <c r="T2032" i="1"/>
  <c r="U2032" i="1"/>
  <c r="Z2032" i="1"/>
  <c r="AA2032" i="1"/>
  <c r="B2033" i="1"/>
  <c r="E2033" i="1"/>
  <c r="K2033" i="1"/>
  <c r="L2033" i="1"/>
  <c r="M2033" i="1"/>
  <c r="N2033" i="1"/>
  <c r="T2033" i="1"/>
  <c r="U2033" i="1"/>
  <c r="Z2033" i="1"/>
  <c r="AA2033" i="1"/>
  <c r="B2034" i="1"/>
  <c r="E2034" i="1"/>
  <c r="K2034" i="1"/>
  <c r="L2034" i="1"/>
  <c r="M2034" i="1"/>
  <c r="N2034" i="1"/>
  <c r="T2034" i="1"/>
  <c r="U2034" i="1"/>
  <c r="Z2034" i="1"/>
  <c r="AA2034" i="1"/>
  <c r="B2035" i="1"/>
  <c r="E2035" i="1"/>
  <c r="K2035" i="1"/>
  <c r="L2035" i="1"/>
  <c r="M2035" i="1"/>
  <c r="N2035" i="1"/>
  <c r="T2035" i="1"/>
  <c r="U2035" i="1"/>
  <c r="Z2035" i="1"/>
  <c r="AA2035" i="1"/>
  <c r="B2036" i="1"/>
  <c r="E2036" i="1"/>
  <c r="K2036" i="1"/>
  <c r="L2036" i="1"/>
  <c r="M2036" i="1"/>
  <c r="N2036" i="1"/>
  <c r="T2036" i="1"/>
  <c r="U2036" i="1"/>
  <c r="Z2036" i="1"/>
  <c r="AA2036" i="1"/>
  <c r="B2037" i="1"/>
  <c r="E2037" i="1"/>
  <c r="K2037" i="1"/>
  <c r="L2037" i="1"/>
  <c r="M2037" i="1"/>
  <c r="N2037" i="1"/>
  <c r="T2037" i="1"/>
  <c r="U2037" i="1"/>
  <c r="Z2037" i="1"/>
  <c r="AA2037" i="1"/>
  <c r="B2038" i="1"/>
  <c r="E2038" i="1"/>
  <c r="K2038" i="1"/>
  <c r="L2038" i="1"/>
  <c r="M2038" i="1"/>
  <c r="N2038" i="1"/>
  <c r="T2038" i="1"/>
  <c r="U2038" i="1"/>
  <c r="Z2038" i="1"/>
  <c r="AA2038" i="1"/>
  <c r="B2039" i="1"/>
  <c r="E2039" i="1"/>
  <c r="K2039" i="1"/>
  <c r="L2039" i="1"/>
  <c r="M2039" i="1"/>
  <c r="N2039" i="1"/>
  <c r="T2039" i="1"/>
  <c r="U2039" i="1"/>
  <c r="Z2039" i="1"/>
  <c r="AA2039" i="1"/>
  <c r="B2040" i="1"/>
  <c r="E2040" i="1"/>
  <c r="K2040" i="1"/>
  <c r="L2040" i="1"/>
  <c r="M2040" i="1"/>
  <c r="N2040" i="1"/>
  <c r="T2040" i="1"/>
  <c r="U2040" i="1"/>
  <c r="Z2040" i="1"/>
  <c r="AA2040" i="1"/>
  <c r="B2041" i="1"/>
  <c r="E2041" i="1"/>
  <c r="K2041" i="1"/>
  <c r="L2041" i="1"/>
  <c r="M2041" i="1"/>
  <c r="N2041" i="1"/>
  <c r="T2041" i="1"/>
  <c r="U2041" i="1"/>
  <c r="Z2041" i="1"/>
  <c r="AA2041" i="1"/>
  <c r="B2042" i="1"/>
  <c r="E2042" i="1"/>
  <c r="K2042" i="1"/>
  <c r="L2042" i="1"/>
  <c r="M2042" i="1"/>
  <c r="N2042" i="1"/>
  <c r="T2042" i="1"/>
  <c r="U2042" i="1"/>
  <c r="Z2042" i="1"/>
  <c r="AA2042" i="1"/>
  <c r="B2043" i="1"/>
  <c r="E2043" i="1"/>
  <c r="K2043" i="1"/>
  <c r="L2043" i="1"/>
  <c r="M2043" i="1"/>
  <c r="N2043" i="1"/>
  <c r="T2043" i="1"/>
  <c r="U2043" i="1"/>
  <c r="Z2043" i="1"/>
  <c r="AA2043" i="1"/>
  <c r="B2044" i="1"/>
  <c r="E2044" i="1"/>
  <c r="K2044" i="1"/>
  <c r="L2044" i="1"/>
  <c r="M2044" i="1"/>
  <c r="N2044" i="1"/>
  <c r="T2044" i="1"/>
  <c r="U2044" i="1"/>
  <c r="Z2044" i="1"/>
  <c r="AA2044" i="1"/>
  <c r="B2045" i="1"/>
  <c r="E2045" i="1"/>
  <c r="K2045" i="1"/>
  <c r="L2045" i="1"/>
  <c r="M2045" i="1"/>
  <c r="N2045" i="1"/>
  <c r="T2045" i="1"/>
  <c r="U2045" i="1"/>
  <c r="Z2045" i="1"/>
  <c r="AA2045" i="1"/>
  <c r="B2046" i="1"/>
  <c r="E2046" i="1"/>
  <c r="K2046" i="1"/>
  <c r="L2046" i="1"/>
  <c r="M2046" i="1"/>
  <c r="N2046" i="1"/>
  <c r="T2046" i="1"/>
  <c r="U2046" i="1"/>
  <c r="Z2046" i="1"/>
  <c r="AA2046" i="1"/>
  <c r="B2047" i="1"/>
  <c r="E2047" i="1"/>
  <c r="K2047" i="1"/>
  <c r="L2047" i="1"/>
  <c r="M2047" i="1"/>
  <c r="N2047" i="1"/>
  <c r="T2047" i="1"/>
  <c r="U2047" i="1"/>
  <c r="Z2047" i="1"/>
  <c r="AA2047" i="1"/>
  <c r="B2048" i="1"/>
  <c r="E2048" i="1"/>
  <c r="K2048" i="1"/>
  <c r="L2048" i="1"/>
  <c r="M2048" i="1"/>
  <c r="N2048" i="1"/>
  <c r="T2048" i="1"/>
  <c r="U2048" i="1"/>
  <c r="Z2048" i="1"/>
  <c r="AA2048" i="1"/>
  <c r="B2049" i="1"/>
  <c r="E2049" i="1"/>
  <c r="K2049" i="1"/>
  <c r="L2049" i="1"/>
  <c r="M2049" i="1"/>
  <c r="N2049" i="1"/>
  <c r="T2049" i="1"/>
  <c r="U2049" i="1"/>
  <c r="Z2049" i="1"/>
  <c r="AA2049" i="1"/>
  <c r="B2050" i="1"/>
  <c r="E2050" i="1"/>
  <c r="K2050" i="1"/>
  <c r="L2050" i="1"/>
  <c r="M2050" i="1"/>
  <c r="N2050" i="1"/>
  <c r="T2050" i="1"/>
  <c r="U2050" i="1"/>
  <c r="Z2050" i="1"/>
  <c r="AA2050" i="1"/>
  <c r="B2051" i="1"/>
  <c r="E2051" i="1"/>
  <c r="K2051" i="1"/>
  <c r="L2051" i="1"/>
  <c r="M2051" i="1"/>
  <c r="N2051" i="1"/>
  <c r="T2051" i="1"/>
  <c r="U2051" i="1"/>
  <c r="Z2051" i="1"/>
  <c r="AA2051" i="1"/>
  <c r="B2052" i="1"/>
  <c r="E2052" i="1"/>
  <c r="K2052" i="1"/>
  <c r="L2052" i="1"/>
  <c r="M2052" i="1"/>
  <c r="N2052" i="1"/>
  <c r="T2052" i="1"/>
  <c r="U2052" i="1"/>
  <c r="Z2052" i="1"/>
  <c r="AA2052" i="1"/>
  <c r="B2053" i="1"/>
  <c r="E2053" i="1"/>
  <c r="K2053" i="1"/>
  <c r="L2053" i="1"/>
  <c r="M2053" i="1"/>
  <c r="N2053" i="1"/>
  <c r="T2053" i="1"/>
  <c r="U2053" i="1"/>
  <c r="Z2053" i="1"/>
  <c r="AA2053" i="1"/>
  <c r="B2054" i="1"/>
  <c r="E2054" i="1"/>
  <c r="K2054" i="1"/>
  <c r="L2054" i="1"/>
  <c r="M2054" i="1"/>
  <c r="N2054" i="1"/>
  <c r="T2054" i="1"/>
  <c r="U2054" i="1"/>
  <c r="Z2054" i="1"/>
  <c r="AA2054" i="1"/>
  <c r="B2055" i="1"/>
  <c r="E2055" i="1"/>
  <c r="K2055" i="1"/>
  <c r="L2055" i="1"/>
  <c r="M2055" i="1"/>
  <c r="N2055" i="1"/>
  <c r="T2055" i="1"/>
  <c r="U2055" i="1"/>
  <c r="Z2055" i="1"/>
  <c r="AA2055" i="1"/>
  <c r="B2056" i="1"/>
  <c r="E2056" i="1"/>
  <c r="K2056" i="1"/>
  <c r="L2056" i="1"/>
  <c r="M2056" i="1"/>
  <c r="N2056" i="1"/>
  <c r="T2056" i="1"/>
  <c r="U2056" i="1"/>
  <c r="Z2056" i="1"/>
  <c r="AA2056" i="1"/>
  <c r="B2057" i="1"/>
  <c r="E2057" i="1"/>
  <c r="K2057" i="1"/>
  <c r="L2057" i="1"/>
  <c r="M2057" i="1"/>
  <c r="N2057" i="1"/>
  <c r="T2057" i="1"/>
  <c r="U2057" i="1"/>
  <c r="Z2057" i="1"/>
  <c r="AA2057" i="1"/>
  <c r="B2058" i="1"/>
  <c r="E2058" i="1"/>
  <c r="K2058" i="1"/>
  <c r="L2058" i="1"/>
  <c r="M2058" i="1"/>
  <c r="N2058" i="1"/>
  <c r="T2058" i="1"/>
  <c r="U2058" i="1"/>
  <c r="Z2058" i="1"/>
  <c r="AA2058" i="1"/>
  <c r="B2059" i="1"/>
  <c r="E2059" i="1"/>
  <c r="K2059" i="1"/>
  <c r="L2059" i="1"/>
  <c r="M2059" i="1"/>
  <c r="N2059" i="1"/>
  <c r="T2059" i="1"/>
  <c r="U2059" i="1"/>
  <c r="Z2059" i="1"/>
  <c r="AA2059" i="1"/>
  <c r="B2060" i="1"/>
  <c r="E2060" i="1"/>
  <c r="K2060" i="1"/>
  <c r="L2060" i="1"/>
  <c r="M2060" i="1"/>
  <c r="N2060" i="1"/>
  <c r="T2060" i="1"/>
  <c r="U2060" i="1"/>
  <c r="Z2060" i="1"/>
  <c r="AA2060" i="1"/>
  <c r="B2061" i="1"/>
  <c r="E2061" i="1"/>
  <c r="K2061" i="1"/>
  <c r="L2061" i="1"/>
  <c r="M2061" i="1"/>
  <c r="N2061" i="1"/>
  <c r="T2061" i="1"/>
  <c r="U2061" i="1"/>
  <c r="Z2061" i="1"/>
  <c r="AA2061" i="1"/>
  <c r="B2062" i="1"/>
  <c r="E2062" i="1"/>
  <c r="K2062" i="1"/>
  <c r="L2062" i="1"/>
  <c r="M2062" i="1"/>
  <c r="N2062" i="1"/>
  <c r="T2062" i="1"/>
  <c r="U2062" i="1"/>
  <c r="Z2062" i="1"/>
  <c r="AA2062" i="1"/>
  <c r="B2063" i="1"/>
  <c r="E2063" i="1"/>
  <c r="K2063" i="1"/>
  <c r="L2063" i="1"/>
  <c r="M2063" i="1"/>
  <c r="N2063" i="1"/>
  <c r="T2063" i="1"/>
  <c r="U2063" i="1"/>
  <c r="Z2063" i="1"/>
  <c r="AA2063" i="1"/>
  <c r="B2064" i="1"/>
  <c r="E2064" i="1"/>
  <c r="K2064" i="1"/>
  <c r="L2064" i="1"/>
  <c r="M2064" i="1"/>
  <c r="N2064" i="1"/>
  <c r="T2064" i="1"/>
  <c r="U2064" i="1"/>
  <c r="Z2064" i="1"/>
  <c r="AA2064" i="1"/>
  <c r="B2065" i="1"/>
  <c r="E2065" i="1"/>
  <c r="K2065" i="1"/>
  <c r="L2065" i="1"/>
  <c r="M2065" i="1"/>
  <c r="N2065" i="1"/>
  <c r="T2065" i="1"/>
  <c r="U2065" i="1"/>
  <c r="Z2065" i="1"/>
  <c r="AA2065" i="1"/>
  <c r="B2066" i="1"/>
  <c r="E2066" i="1"/>
  <c r="K2066" i="1"/>
  <c r="L2066" i="1"/>
  <c r="M2066" i="1"/>
  <c r="N2066" i="1"/>
  <c r="T2066" i="1"/>
  <c r="U2066" i="1"/>
  <c r="Z2066" i="1"/>
  <c r="AA2066" i="1"/>
  <c r="B2067" i="1"/>
  <c r="E2067" i="1"/>
  <c r="K2067" i="1"/>
  <c r="L2067" i="1"/>
  <c r="M2067" i="1"/>
  <c r="N2067" i="1"/>
  <c r="T2067" i="1"/>
  <c r="U2067" i="1"/>
  <c r="Z2067" i="1"/>
  <c r="AA2067" i="1"/>
  <c r="B2068" i="1"/>
  <c r="E2068" i="1"/>
  <c r="K2068" i="1"/>
  <c r="L2068" i="1"/>
  <c r="M2068" i="1"/>
  <c r="N2068" i="1"/>
  <c r="T2068" i="1"/>
  <c r="U2068" i="1"/>
  <c r="Z2068" i="1"/>
  <c r="AA2068" i="1"/>
  <c r="B2069" i="1"/>
  <c r="E2069" i="1"/>
  <c r="K2069" i="1"/>
  <c r="L2069" i="1"/>
  <c r="M2069" i="1"/>
  <c r="N2069" i="1"/>
  <c r="T2069" i="1"/>
  <c r="U2069" i="1"/>
  <c r="Z2069" i="1"/>
  <c r="AA2069" i="1"/>
  <c r="B2070" i="1"/>
  <c r="E2070" i="1"/>
  <c r="K2070" i="1"/>
  <c r="L2070" i="1"/>
  <c r="M2070" i="1"/>
  <c r="N2070" i="1"/>
  <c r="T2070" i="1"/>
  <c r="U2070" i="1"/>
  <c r="Z2070" i="1"/>
  <c r="AA2070" i="1"/>
  <c r="B2071" i="1"/>
  <c r="E2071" i="1"/>
  <c r="K2071" i="1"/>
  <c r="L2071" i="1"/>
  <c r="M2071" i="1"/>
  <c r="N2071" i="1"/>
  <c r="T2071" i="1"/>
  <c r="U2071" i="1"/>
  <c r="Z2071" i="1"/>
  <c r="AA2071" i="1"/>
  <c r="B2072" i="1"/>
  <c r="E2072" i="1"/>
  <c r="K2072" i="1"/>
  <c r="L2072" i="1"/>
  <c r="M2072" i="1"/>
  <c r="N2072" i="1"/>
  <c r="T2072" i="1"/>
  <c r="U2072" i="1"/>
  <c r="Z2072" i="1"/>
  <c r="AA2072" i="1"/>
  <c r="B2073" i="1"/>
  <c r="E2073" i="1"/>
  <c r="K2073" i="1"/>
  <c r="L2073" i="1"/>
  <c r="M2073" i="1"/>
  <c r="N2073" i="1"/>
  <c r="T2073" i="1"/>
  <c r="U2073" i="1"/>
  <c r="Z2073" i="1"/>
  <c r="AA2073" i="1"/>
  <c r="B2074" i="1"/>
  <c r="E2074" i="1"/>
  <c r="K2074" i="1"/>
  <c r="L2074" i="1"/>
  <c r="M2074" i="1"/>
  <c r="N2074" i="1"/>
  <c r="T2074" i="1"/>
  <c r="U2074" i="1"/>
  <c r="Z2074" i="1"/>
  <c r="AA2074" i="1"/>
  <c r="B2075" i="1"/>
  <c r="E2075" i="1"/>
  <c r="K2075" i="1"/>
  <c r="L2075" i="1"/>
  <c r="M2075" i="1"/>
  <c r="N2075" i="1"/>
  <c r="T2075" i="1"/>
  <c r="U2075" i="1"/>
  <c r="Z2075" i="1"/>
  <c r="AA2075" i="1"/>
  <c r="B2076" i="1"/>
  <c r="E2076" i="1"/>
  <c r="K2076" i="1"/>
  <c r="L2076" i="1"/>
  <c r="M2076" i="1"/>
  <c r="N2076" i="1"/>
  <c r="T2076" i="1"/>
  <c r="U2076" i="1"/>
  <c r="Z2076" i="1"/>
  <c r="AA2076" i="1"/>
  <c r="B2077" i="1"/>
  <c r="E2077" i="1"/>
  <c r="K2077" i="1"/>
  <c r="L2077" i="1"/>
  <c r="M2077" i="1"/>
  <c r="N2077" i="1"/>
  <c r="T2077" i="1"/>
  <c r="U2077" i="1"/>
  <c r="Z2077" i="1"/>
  <c r="AA2077" i="1"/>
  <c r="B2078" i="1"/>
  <c r="E2078" i="1"/>
  <c r="K2078" i="1"/>
  <c r="L2078" i="1"/>
  <c r="M2078" i="1"/>
  <c r="N2078" i="1"/>
  <c r="T2078" i="1"/>
  <c r="U2078" i="1"/>
  <c r="Z2078" i="1"/>
  <c r="AA2078" i="1"/>
  <c r="B2079" i="1"/>
  <c r="E2079" i="1"/>
  <c r="K2079" i="1"/>
  <c r="L2079" i="1"/>
  <c r="M2079" i="1"/>
  <c r="N2079" i="1"/>
  <c r="T2079" i="1"/>
  <c r="U2079" i="1"/>
  <c r="Z2079" i="1"/>
  <c r="AA2079" i="1"/>
  <c r="B2080" i="1"/>
  <c r="E2080" i="1"/>
  <c r="K2080" i="1"/>
  <c r="L2080" i="1"/>
  <c r="M2080" i="1"/>
  <c r="N2080" i="1"/>
  <c r="T2080" i="1"/>
  <c r="U2080" i="1"/>
  <c r="Z2080" i="1"/>
  <c r="AA2080" i="1"/>
  <c r="B2081" i="1"/>
  <c r="E2081" i="1"/>
  <c r="K2081" i="1"/>
  <c r="L2081" i="1"/>
  <c r="M2081" i="1"/>
  <c r="N2081" i="1"/>
  <c r="T2081" i="1"/>
  <c r="U2081" i="1"/>
  <c r="Z2081" i="1"/>
  <c r="AA2081" i="1"/>
  <c r="B2082" i="1"/>
  <c r="E2082" i="1"/>
  <c r="K2082" i="1"/>
  <c r="L2082" i="1"/>
  <c r="M2082" i="1"/>
  <c r="N2082" i="1"/>
  <c r="T2082" i="1"/>
  <c r="U2082" i="1"/>
  <c r="Z2082" i="1"/>
  <c r="AA2082" i="1"/>
  <c r="B2083" i="1"/>
  <c r="E2083" i="1"/>
  <c r="K2083" i="1"/>
  <c r="L2083" i="1"/>
  <c r="M2083" i="1"/>
  <c r="N2083" i="1"/>
  <c r="T2083" i="1"/>
  <c r="U2083" i="1"/>
  <c r="Z2083" i="1"/>
  <c r="AA2083" i="1"/>
  <c r="B2084" i="1"/>
  <c r="E2084" i="1"/>
  <c r="K2084" i="1"/>
  <c r="L2084" i="1"/>
  <c r="M2084" i="1"/>
  <c r="N2084" i="1"/>
  <c r="T2084" i="1"/>
  <c r="U2084" i="1"/>
  <c r="Z2084" i="1"/>
  <c r="AA2084" i="1"/>
  <c r="B2085" i="1"/>
  <c r="E2085" i="1"/>
  <c r="K2085" i="1"/>
  <c r="L2085" i="1"/>
  <c r="M2085" i="1"/>
  <c r="N2085" i="1"/>
  <c r="T2085" i="1"/>
  <c r="U2085" i="1"/>
  <c r="Z2085" i="1"/>
  <c r="AA2085" i="1"/>
  <c r="B2086" i="1"/>
  <c r="E2086" i="1"/>
  <c r="K2086" i="1"/>
  <c r="L2086" i="1"/>
  <c r="M2086" i="1"/>
  <c r="N2086" i="1"/>
  <c r="T2086" i="1"/>
  <c r="U2086" i="1"/>
  <c r="Z2086" i="1"/>
  <c r="AA2086" i="1"/>
  <c r="B2087" i="1"/>
  <c r="E2087" i="1"/>
  <c r="K2087" i="1"/>
  <c r="L2087" i="1"/>
  <c r="M2087" i="1"/>
  <c r="N2087" i="1"/>
  <c r="T2087" i="1"/>
  <c r="U2087" i="1"/>
  <c r="Z2087" i="1"/>
  <c r="AA2087" i="1"/>
  <c r="B2088" i="1"/>
  <c r="E2088" i="1"/>
  <c r="K2088" i="1"/>
  <c r="L2088" i="1"/>
  <c r="M2088" i="1"/>
  <c r="N2088" i="1"/>
  <c r="T2088" i="1"/>
  <c r="U2088" i="1"/>
  <c r="Z2088" i="1"/>
  <c r="AA2088" i="1"/>
  <c r="B2089" i="1"/>
  <c r="E2089" i="1"/>
  <c r="K2089" i="1"/>
  <c r="L2089" i="1"/>
  <c r="M2089" i="1"/>
  <c r="N2089" i="1"/>
  <c r="T2089" i="1"/>
  <c r="U2089" i="1"/>
  <c r="Z2089" i="1"/>
  <c r="AA2089" i="1"/>
  <c r="B2090" i="1"/>
  <c r="E2090" i="1"/>
  <c r="K2090" i="1"/>
  <c r="L2090" i="1"/>
  <c r="M2090" i="1"/>
  <c r="N2090" i="1"/>
  <c r="T2090" i="1"/>
  <c r="U2090" i="1"/>
  <c r="Z2090" i="1"/>
  <c r="AA2090" i="1"/>
  <c r="B2091" i="1"/>
  <c r="E2091" i="1"/>
  <c r="K2091" i="1"/>
  <c r="L2091" i="1"/>
  <c r="M2091" i="1"/>
  <c r="N2091" i="1"/>
  <c r="T2091" i="1"/>
  <c r="U2091" i="1"/>
  <c r="Z2091" i="1"/>
  <c r="AA2091" i="1"/>
  <c r="B2092" i="1"/>
  <c r="E2092" i="1"/>
  <c r="K2092" i="1"/>
  <c r="L2092" i="1"/>
  <c r="M2092" i="1"/>
  <c r="N2092" i="1"/>
  <c r="T2092" i="1"/>
  <c r="U2092" i="1"/>
  <c r="Z2092" i="1"/>
  <c r="AA2092" i="1"/>
  <c r="B2093" i="1"/>
  <c r="E2093" i="1"/>
  <c r="K2093" i="1"/>
  <c r="L2093" i="1"/>
  <c r="M2093" i="1"/>
  <c r="N2093" i="1"/>
  <c r="T2093" i="1"/>
  <c r="U2093" i="1"/>
  <c r="Z2093" i="1"/>
  <c r="AA2093" i="1"/>
  <c r="B2094" i="1"/>
  <c r="E2094" i="1"/>
  <c r="K2094" i="1"/>
  <c r="L2094" i="1"/>
  <c r="M2094" i="1"/>
  <c r="N2094" i="1"/>
  <c r="T2094" i="1"/>
  <c r="U2094" i="1"/>
  <c r="Z2094" i="1"/>
  <c r="AA2094" i="1"/>
  <c r="B2095" i="1"/>
  <c r="E2095" i="1"/>
  <c r="K2095" i="1"/>
  <c r="L2095" i="1"/>
  <c r="M2095" i="1"/>
  <c r="N2095" i="1"/>
  <c r="T2095" i="1"/>
  <c r="U2095" i="1"/>
  <c r="Z2095" i="1"/>
  <c r="AA2095" i="1"/>
  <c r="B2096" i="1"/>
  <c r="E2096" i="1"/>
  <c r="K2096" i="1"/>
  <c r="L2096" i="1"/>
  <c r="M2096" i="1"/>
  <c r="N2096" i="1"/>
  <c r="T2096" i="1"/>
  <c r="U2096" i="1"/>
  <c r="Z2096" i="1"/>
  <c r="AA2096" i="1"/>
  <c r="B2097" i="1"/>
  <c r="E2097" i="1"/>
  <c r="K2097" i="1"/>
  <c r="L2097" i="1"/>
  <c r="M2097" i="1"/>
  <c r="N2097" i="1"/>
  <c r="T2097" i="1"/>
  <c r="U2097" i="1"/>
  <c r="Z2097" i="1"/>
  <c r="AA2097" i="1"/>
  <c r="B2098" i="1"/>
  <c r="E2098" i="1"/>
  <c r="K2098" i="1"/>
  <c r="L2098" i="1"/>
  <c r="M2098" i="1"/>
  <c r="N2098" i="1"/>
  <c r="T2098" i="1"/>
  <c r="U2098" i="1"/>
  <c r="Z2098" i="1"/>
  <c r="AA2098" i="1"/>
  <c r="B2099" i="1"/>
  <c r="E2099" i="1"/>
  <c r="K2099" i="1"/>
  <c r="L2099" i="1"/>
  <c r="M2099" i="1"/>
  <c r="N2099" i="1"/>
  <c r="T2099" i="1"/>
  <c r="U2099" i="1"/>
  <c r="Z2099" i="1"/>
  <c r="AA2099" i="1"/>
  <c r="B2100" i="1"/>
  <c r="E2100" i="1"/>
  <c r="K2100" i="1"/>
  <c r="L2100" i="1"/>
  <c r="M2100" i="1"/>
  <c r="N2100" i="1"/>
  <c r="T2100" i="1"/>
  <c r="U2100" i="1"/>
  <c r="Z2100" i="1"/>
  <c r="AA2100" i="1"/>
  <c r="B2101" i="1"/>
  <c r="E2101" i="1"/>
  <c r="K2101" i="1"/>
  <c r="L2101" i="1"/>
  <c r="M2101" i="1"/>
  <c r="N2101" i="1"/>
  <c r="T2101" i="1"/>
  <c r="U2101" i="1"/>
  <c r="Z2101" i="1"/>
  <c r="AA2101" i="1"/>
  <c r="B2102" i="1"/>
  <c r="E2102" i="1"/>
  <c r="K2102" i="1"/>
  <c r="L2102" i="1"/>
  <c r="M2102" i="1"/>
  <c r="N2102" i="1"/>
  <c r="T2102" i="1"/>
  <c r="U2102" i="1"/>
  <c r="Z2102" i="1"/>
  <c r="AA2102" i="1"/>
  <c r="B2103" i="1"/>
  <c r="E2103" i="1"/>
  <c r="K2103" i="1"/>
  <c r="L2103" i="1"/>
  <c r="M2103" i="1"/>
  <c r="N2103" i="1"/>
  <c r="T2103" i="1"/>
  <c r="U2103" i="1"/>
  <c r="Z2103" i="1"/>
  <c r="AA2103" i="1"/>
  <c r="B2104" i="1"/>
  <c r="E2104" i="1"/>
  <c r="K2104" i="1"/>
  <c r="L2104" i="1"/>
  <c r="M2104" i="1"/>
  <c r="N2104" i="1"/>
  <c r="T2104" i="1"/>
  <c r="U2104" i="1"/>
  <c r="Z2104" i="1"/>
  <c r="AA2104" i="1"/>
  <c r="B2105" i="1"/>
  <c r="E2105" i="1"/>
  <c r="K2105" i="1"/>
  <c r="L2105" i="1"/>
  <c r="M2105" i="1"/>
  <c r="N2105" i="1"/>
  <c r="T2105" i="1"/>
  <c r="U2105" i="1"/>
  <c r="Z2105" i="1"/>
  <c r="AA2105" i="1"/>
  <c r="B2106" i="1"/>
  <c r="E2106" i="1"/>
  <c r="K2106" i="1"/>
  <c r="L2106" i="1"/>
  <c r="M2106" i="1"/>
  <c r="N2106" i="1"/>
  <c r="T2106" i="1"/>
  <c r="U2106" i="1"/>
  <c r="Z2106" i="1"/>
  <c r="AA2106" i="1"/>
  <c r="B2107" i="1"/>
  <c r="E2107" i="1"/>
  <c r="K2107" i="1"/>
  <c r="L2107" i="1"/>
  <c r="M2107" i="1"/>
  <c r="N2107" i="1"/>
  <c r="T2107" i="1"/>
  <c r="U2107" i="1"/>
  <c r="Z2107" i="1"/>
  <c r="AA2107" i="1"/>
  <c r="B2108" i="1"/>
  <c r="E2108" i="1"/>
  <c r="K2108" i="1"/>
  <c r="L2108" i="1"/>
  <c r="M2108" i="1"/>
  <c r="N2108" i="1"/>
  <c r="T2108" i="1"/>
  <c r="U2108" i="1"/>
  <c r="Z2108" i="1"/>
  <c r="AA2108" i="1"/>
  <c r="B2109" i="1"/>
  <c r="E2109" i="1"/>
  <c r="K2109" i="1"/>
  <c r="L2109" i="1"/>
  <c r="M2109" i="1"/>
  <c r="N2109" i="1"/>
  <c r="T2109" i="1"/>
  <c r="U2109" i="1"/>
  <c r="Z2109" i="1"/>
  <c r="AA2109" i="1"/>
  <c r="B2110" i="1"/>
  <c r="E2110" i="1"/>
  <c r="K2110" i="1"/>
  <c r="L2110" i="1"/>
  <c r="M2110" i="1"/>
  <c r="N2110" i="1"/>
  <c r="T2110" i="1"/>
  <c r="U2110" i="1"/>
  <c r="Z2110" i="1"/>
  <c r="AA2110" i="1"/>
  <c r="B2111" i="1"/>
  <c r="E2111" i="1"/>
  <c r="K2111" i="1"/>
  <c r="L2111" i="1"/>
  <c r="M2111" i="1"/>
  <c r="N2111" i="1"/>
  <c r="T2111" i="1"/>
  <c r="U2111" i="1"/>
  <c r="Z2111" i="1"/>
  <c r="AA2111" i="1"/>
  <c r="B2112" i="1"/>
  <c r="E2112" i="1"/>
  <c r="K2112" i="1"/>
  <c r="L2112" i="1"/>
  <c r="M2112" i="1"/>
  <c r="N2112" i="1"/>
  <c r="T2112" i="1"/>
  <c r="U2112" i="1"/>
  <c r="Z2112" i="1"/>
  <c r="AA2112" i="1"/>
  <c r="B2113" i="1"/>
  <c r="E2113" i="1"/>
  <c r="K2113" i="1"/>
  <c r="L2113" i="1"/>
  <c r="M2113" i="1"/>
  <c r="N2113" i="1"/>
  <c r="T2113" i="1"/>
  <c r="U2113" i="1"/>
  <c r="Z2113" i="1"/>
  <c r="AA2113" i="1"/>
  <c r="B2114" i="1"/>
  <c r="E2114" i="1"/>
  <c r="K2114" i="1"/>
  <c r="L2114" i="1"/>
  <c r="M2114" i="1"/>
  <c r="N2114" i="1"/>
  <c r="T2114" i="1"/>
  <c r="U2114" i="1"/>
  <c r="Z2114" i="1"/>
  <c r="AA2114" i="1"/>
  <c r="B2115" i="1"/>
  <c r="E2115" i="1"/>
  <c r="K2115" i="1"/>
  <c r="L2115" i="1"/>
  <c r="M2115" i="1"/>
  <c r="N2115" i="1"/>
  <c r="T2115" i="1"/>
  <c r="U2115" i="1"/>
  <c r="Z2115" i="1"/>
  <c r="AA2115" i="1"/>
  <c r="B2116" i="1"/>
  <c r="E2116" i="1"/>
  <c r="K2116" i="1"/>
  <c r="L2116" i="1"/>
  <c r="M2116" i="1"/>
  <c r="N2116" i="1"/>
  <c r="T2116" i="1"/>
  <c r="U2116" i="1"/>
  <c r="Z2116" i="1"/>
  <c r="AA2116" i="1"/>
  <c r="B2117" i="1"/>
  <c r="E2117" i="1"/>
  <c r="K2117" i="1"/>
  <c r="L2117" i="1"/>
  <c r="M2117" i="1"/>
  <c r="N2117" i="1"/>
  <c r="T2117" i="1"/>
  <c r="U2117" i="1"/>
  <c r="Z2117" i="1"/>
  <c r="AA2117" i="1"/>
  <c r="B2118" i="1"/>
  <c r="E2118" i="1"/>
  <c r="K2118" i="1"/>
  <c r="L2118" i="1"/>
  <c r="M2118" i="1"/>
  <c r="N2118" i="1"/>
  <c r="T2118" i="1"/>
  <c r="U2118" i="1"/>
  <c r="Z2118" i="1"/>
  <c r="AA2118" i="1"/>
  <c r="B2119" i="1"/>
  <c r="E2119" i="1"/>
  <c r="K2119" i="1"/>
  <c r="L2119" i="1"/>
  <c r="M2119" i="1"/>
  <c r="N2119" i="1"/>
  <c r="T2119" i="1"/>
  <c r="U2119" i="1"/>
  <c r="Z2119" i="1"/>
  <c r="AA2119" i="1"/>
  <c r="B2120" i="1"/>
  <c r="E2120" i="1"/>
  <c r="K2120" i="1"/>
  <c r="L2120" i="1"/>
  <c r="M2120" i="1"/>
  <c r="N2120" i="1"/>
  <c r="T2120" i="1"/>
  <c r="U2120" i="1"/>
  <c r="Z2120" i="1"/>
  <c r="AA2120" i="1"/>
  <c r="B2121" i="1"/>
  <c r="E2121" i="1"/>
  <c r="K2121" i="1"/>
  <c r="L2121" i="1"/>
  <c r="M2121" i="1"/>
  <c r="N2121" i="1"/>
  <c r="T2121" i="1"/>
  <c r="U2121" i="1"/>
  <c r="Z2121" i="1"/>
  <c r="AA2121" i="1"/>
  <c r="B2122" i="1"/>
  <c r="E2122" i="1"/>
  <c r="K2122" i="1"/>
  <c r="L2122" i="1"/>
  <c r="M2122" i="1"/>
  <c r="N2122" i="1"/>
  <c r="T2122" i="1"/>
  <c r="U2122" i="1"/>
  <c r="Z2122" i="1"/>
  <c r="AA2122" i="1"/>
  <c r="B2123" i="1"/>
  <c r="E2123" i="1"/>
  <c r="K2123" i="1"/>
  <c r="L2123" i="1"/>
  <c r="M2123" i="1"/>
  <c r="N2123" i="1"/>
  <c r="T2123" i="1"/>
  <c r="U2123" i="1"/>
  <c r="Z2123" i="1"/>
  <c r="AA2123" i="1"/>
  <c r="B2124" i="1"/>
  <c r="E2124" i="1"/>
  <c r="K2124" i="1"/>
  <c r="L2124" i="1"/>
  <c r="M2124" i="1"/>
  <c r="N2124" i="1"/>
  <c r="T2124" i="1"/>
  <c r="U2124" i="1"/>
  <c r="Z2124" i="1"/>
  <c r="AA2124" i="1"/>
  <c r="B2125" i="1"/>
  <c r="E2125" i="1"/>
  <c r="K2125" i="1"/>
  <c r="L2125" i="1"/>
  <c r="M2125" i="1"/>
  <c r="N2125" i="1"/>
  <c r="T2125" i="1"/>
  <c r="U2125" i="1"/>
  <c r="Z2125" i="1"/>
  <c r="AA2125" i="1"/>
  <c r="B2126" i="1"/>
  <c r="E2126" i="1"/>
  <c r="K2126" i="1"/>
  <c r="L2126" i="1"/>
  <c r="M2126" i="1"/>
  <c r="N2126" i="1"/>
  <c r="T2126" i="1"/>
  <c r="U2126" i="1"/>
  <c r="Z2126" i="1"/>
  <c r="AA2126" i="1"/>
  <c r="B2127" i="1"/>
  <c r="E2127" i="1"/>
  <c r="K2127" i="1"/>
  <c r="L2127" i="1"/>
  <c r="M2127" i="1"/>
  <c r="N2127" i="1"/>
  <c r="T2127" i="1"/>
  <c r="U2127" i="1"/>
  <c r="Z2127" i="1"/>
  <c r="AA2127" i="1"/>
  <c r="B2128" i="1"/>
  <c r="E2128" i="1"/>
  <c r="K2128" i="1"/>
  <c r="L2128" i="1"/>
  <c r="M2128" i="1"/>
  <c r="N2128" i="1"/>
  <c r="T2128" i="1"/>
  <c r="U2128" i="1"/>
  <c r="Z2128" i="1"/>
  <c r="AA2128" i="1"/>
  <c r="B2129" i="1"/>
  <c r="E2129" i="1"/>
  <c r="K2129" i="1"/>
  <c r="L2129" i="1"/>
  <c r="M2129" i="1"/>
  <c r="N2129" i="1"/>
  <c r="T2129" i="1"/>
  <c r="U2129" i="1"/>
  <c r="Z2129" i="1"/>
  <c r="AA2129" i="1"/>
  <c r="B2130" i="1"/>
  <c r="E2130" i="1"/>
  <c r="K2130" i="1"/>
  <c r="L2130" i="1"/>
  <c r="M2130" i="1"/>
  <c r="N2130" i="1"/>
  <c r="T2130" i="1"/>
  <c r="U2130" i="1"/>
  <c r="Z2130" i="1"/>
  <c r="AA2130" i="1"/>
  <c r="B2131" i="1"/>
  <c r="E2131" i="1"/>
  <c r="K2131" i="1"/>
  <c r="L2131" i="1"/>
  <c r="M2131" i="1"/>
  <c r="N2131" i="1"/>
  <c r="T2131" i="1"/>
  <c r="U2131" i="1"/>
  <c r="Z2131" i="1"/>
  <c r="AA2131" i="1"/>
  <c r="B2132" i="1"/>
  <c r="E2132" i="1"/>
  <c r="K2132" i="1"/>
  <c r="L2132" i="1"/>
  <c r="M2132" i="1"/>
  <c r="N2132" i="1"/>
  <c r="T2132" i="1"/>
  <c r="U2132" i="1"/>
  <c r="Z2132" i="1"/>
  <c r="AA2132" i="1"/>
  <c r="B2133" i="1"/>
  <c r="E2133" i="1"/>
  <c r="K2133" i="1"/>
  <c r="L2133" i="1"/>
  <c r="M2133" i="1"/>
  <c r="N2133" i="1"/>
  <c r="T2133" i="1"/>
  <c r="U2133" i="1"/>
  <c r="Z2133" i="1"/>
  <c r="AA2133" i="1"/>
  <c r="B2134" i="1"/>
  <c r="E2134" i="1"/>
  <c r="K2134" i="1"/>
  <c r="L2134" i="1"/>
  <c r="M2134" i="1"/>
  <c r="N2134" i="1"/>
  <c r="T2134" i="1"/>
  <c r="U2134" i="1"/>
  <c r="Z2134" i="1"/>
  <c r="AA2134" i="1"/>
  <c r="B2135" i="1"/>
  <c r="E2135" i="1"/>
  <c r="K2135" i="1"/>
  <c r="L2135" i="1"/>
  <c r="M2135" i="1"/>
  <c r="N2135" i="1"/>
  <c r="T2135" i="1"/>
  <c r="U2135" i="1"/>
  <c r="Z2135" i="1"/>
  <c r="AA2135" i="1"/>
  <c r="B2136" i="1"/>
  <c r="E2136" i="1"/>
  <c r="K2136" i="1"/>
  <c r="L2136" i="1"/>
  <c r="M2136" i="1"/>
  <c r="N2136" i="1"/>
  <c r="T2136" i="1"/>
  <c r="U2136" i="1"/>
  <c r="Z2136" i="1"/>
  <c r="AA2136" i="1"/>
  <c r="B2137" i="1"/>
  <c r="E2137" i="1"/>
  <c r="K2137" i="1"/>
  <c r="L2137" i="1"/>
  <c r="M2137" i="1"/>
  <c r="N2137" i="1"/>
  <c r="T2137" i="1"/>
  <c r="U2137" i="1"/>
  <c r="Z2137" i="1"/>
  <c r="AA2137" i="1"/>
  <c r="B2138" i="1"/>
  <c r="E2138" i="1"/>
  <c r="K2138" i="1"/>
  <c r="L2138" i="1"/>
  <c r="M2138" i="1"/>
  <c r="N2138" i="1"/>
  <c r="T2138" i="1"/>
  <c r="U2138" i="1"/>
  <c r="Z2138" i="1"/>
  <c r="AA2138" i="1"/>
  <c r="B2139" i="1"/>
  <c r="E2139" i="1"/>
  <c r="K2139" i="1"/>
  <c r="L2139" i="1"/>
  <c r="M2139" i="1"/>
  <c r="N2139" i="1"/>
  <c r="T2139" i="1"/>
  <c r="U2139" i="1"/>
  <c r="Z2139" i="1"/>
  <c r="AA2139" i="1"/>
  <c r="B2140" i="1"/>
  <c r="E2140" i="1"/>
  <c r="K2140" i="1"/>
  <c r="L2140" i="1"/>
  <c r="M2140" i="1"/>
  <c r="N2140" i="1"/>
  <c r="T2140" i="1"/>
  <c r="U2140" i="1"/>
  <c r="Z2140" i="1"/>
  <c r="AA2140" i="1"/>
  <c r="B2141" i="1"/>
  <c r="E2141" i="1"/>
  <c r="K2141" i="1"/>
  <c r="L2141" i="1"/>
  <c r="M2141" i="1"/>
  <c r="N2141" i="1"/>
  <c r="T2141" i="1"/>
  <c r="U2141" i="1"/>
  <c r="Z2141" i="1"/>
  <c r="AA2141" i="1"/>
  <c r="B2142" i="1"/>
  <c r="E2142" i="1"/>
  <c r="K2142" i="1"/>
  <c r="L2142" i="1"/>
  <c r="M2142" i="1"/>
  <c r="N2142" i="1"/>
  <c r="T2142" i="1"/>
  <c r="U2142" i="1"/>
  <c r="Z2142" i="1"/>
  <c r="AA2142" i="1"/>
  <c r="B2143" i="1"/>
  <c r="E2143" i="1"/>
  <c r="K2143" i="1"/>
  <c r="L2143" i="1"/>
  <c r="M2143" i="1"/>
  <c r="N2143" i="1"/>
  <c r="T2143" i="1"/>
  <c r="U2143" i="1"/>
  <c r="Z2143" i="1"/>
  <c r="AA2143" i="1"/>
  <c r="B2144" i="1"/>
  <c r="E2144" i="1"/>
  <c r="K2144" i="1"/>
  <c r="L2144" i="1"/>
  <c r="M2144" i="1"/>
  <c r="N2144" i="1"/>
  <c r="T2144" i="1"/>
  <c r="U2144" i="1"/>
  <c r="Z2144" i="1"/>
  <c r="AA2144" i="1"/>
  <c r="B2145" i="1"/>
  <c r="E2145" i="1"/>
  <c r="K2145" i="1"/>
  <c r="L2145" i="1"/>
  <c r="M2145" i="1"/>
  <c r="N2145" i="1"/>
  <c r="T2145" i="1"/>
  <c r="U2145" i="1"/>
  <c r="Z2145" i="1"/>
  <c r="AA2145" i="1"/>
  <c r="B2146" i="1"/>
  <c r="E2146" i="1"/>
  <c r="K2146" i="1"/>
  <c r="L2146" i="1"/>
  <c r="M2146" i="1"/>
  <c r="N2146" i="1"/>
  <c r="T2146" i="1"/>
  <c r="U2146" i="1"/>
  <c r="Z2146" i="1"/>
  <c r="AA2146" i="1"/>
  <c r="B2147" i="1"/>
  <c r="E2147" i="1"/>
  <c r="K2147" i="1"/>
  <c r="L2147" i="1"/>
  <c r="M2147" i="1"/>
  <c r="N2147" i="1"/>
  <c r="T2147" i="1"/>
  <c r="U2147" i="1"/>
  <c r="Z2147" i="1"/>
  <c r="AA2147" i="1"/>
  <c r="B2148" i="1"/>
  <c r="E2148" i="1"/>
  <c r="K2148" i="1"/>
  <c r="L2148" i="1"/>
  <c r="M2148" i="1"/>
  <c r="N2148" i="1"/>
  <c r="T2148" i="1"/>
  <c r="U2148" i="1"/>
  <c r="Z2148" i="1"/>
  <c r="AA2148" i="1"/>
  <c r="B2149" i="1"/>
  <c r="E2149" i="1"/>
  <c r="K2149" i="1"/>
  <c r="L2149" i="1"/>
  <c r="M2149" i="1"/>
  <c r="N2149" i="1"/>
  <c r="T2149" i="1"/>
  <c r="U2149" i="1"/>
  <c r="Z2149" i="1"/>
  <c r="AA2149" i="1"/>
  <c r="B2150" i="1"/>
  <c r="E2150" i="1"/>
  <c r="K2150" i="1"/>
  <c r="L2150" i="1"/>
  <c r="M2150" i="1"/>
  <c r="N2150" i="1"/>
  <c r="T2150" i="1"/>
  <c r="U2150" i="1"/>
  <c r="Z2150" i="1"/>
  <c r="AA2150" i="1"/>
  <c r="B2151" i="1"/>
  <c r="E2151" i="1"/>
  <c r="K2151" i="1"/>
  <c r="L2151" i="1"/>
  <c r="M2151" i="1"/>
  <c r="N2151" i="1"/>
  <c r="T2151" i="1"/>
  <c r="U2151" i="1"/>
  <c r="Z2151" i="1"/>
  <c r="AA2151" i="1"/>
  <c r="B2152" i="1"/>
  <c r="E2152" i="1"/>
  <c r="K2152" i="1"/>
  <c r="L2152" i="1"/>
  <c r="M2152" i="1"/>
  <c r="N2152" i="1"/>
  <c r="T2152" i="1"/>
  <c r="U2152" i="1"/>
  <c r="Z2152" i="1"/>
  <c r="AA2152" i="1"/>
  <c r="B2153" i="1"/>
  <c r="E2153" i="1"/>
  <c r="K2153" i="1"/>
  <c r="L2153" i="1"/>
  <c r="M2153" i="1"/>
  <c r="N2153" i="1"/>
  <c r="T2153" i="1"/>
  <c r="U2153" i="1"/>
  <c r="Z2153" i="1"/>
  <c r="AA2153" i="1"/>
  <c r="B2154" i="1"/>
  <c r="E2154" i="1"/>
  <c r="K2154" i="1"/>
  <c r="L2154" i="1"/>
  <c r="M2154" i="1"/>
  <c r="N2154" i="1"/>
  <c r="T2154" i="1"/>
  <c r="U2154" i="1"/>
  <c r="Z2154" i="1"/>
  <c r="AA2154" i="1"/>
  <c r="B2155" i="1"/>
  <c r="E2155" i="1"/>
  <c r="K2155" i="1"/>
  <c r="L2155" i="1"/>
  <c r="M2155" i="1"/>
  <c r="N2155" i="1"/>
  <c r="T2155" i="1"/>
  <c r="U2155" i="1"/>
  <c r="Z2155" i="1"/>
  <c r="AA2155" i="1"/>
  <c r="B2156" i="1"/>
  <c r="E2156" i="1"/>
  <c r="K2156" i="1"/>
  <c r="L2156" i="1"/>
  <c r="M2156" i="1"/>
  <c r="N2156" i="1"/>
  <c r="T2156" i="1"/>
  <c r="U2156" i="1"/>
  <c r="Z2156" i="1"/>
  <c r="AA2156" i="1"/>
  <c r="B2157" i="1"/>
  <c r="E2157" i="1"/>
  <c r="K2157" i="1"/>
  <c r="L2157" i="1"/>
  <c r="M2157" i="1"/>
  <c r="N2157" i="1"/>
  <c r="T2157" i="1"/>
  <c r="U2157" i="1"/>
  <c r="Z2157" i="1"/>
  <c r="AA2157" i="1"/>
  <c r="B2158" i="1"/>
  <c r="E2158" i="1"/>
  <c r="K2158" i="1"/>
  <c r="L2158" i="1"/>
  <c r="M2158" i="1"/>
  <c r="N2158" i="1"/>
  <c r="T2158" i="1"/>
  <c r="U2158" i="1"/>
  <c r="Z2158" i="1"/>
  <c r="AA2158" i="1"/>
  <c r="B2159" i="1"/>
  <c r="E2159" i="1"/>
  <c r="K2159" i="1"/>
  <c r="L2159" i="1"/>
  <c r="M2159" i="1"/>
  <c r="N2159" i="1"/>
  <c r="T2159" i="1"/>
  <c r="U2159" i="1"/>
  <c r="Z2159" i="1"/>
  <c r="AA2159" i="1"/>
  <c r="B2160" i="1"/>
  <c r="E2160" i="1"/>
  <c r="K2160" i="1"/>
  <c r="L2160" i="1"/>
  <c r="M2160" i="1"/>
  <c r="N2160" i="1"/>
  <c r="T2160" i="1"/>
  <c r="U2160" i="1"/>
  <c r="Z2160" i="1"/>
  <c r="AA2160" i="1"/>
  <c r="B2161" i="1"/>
  <c r="E2161" i="1"/>
  <c r="K2161" i="1"/>
  <c r="L2161" i="1"/>
  <c r="M2161" i="1"/>
  <c r="N2161" i="1"/>
  <c r="T2161" i="1"/>
  <c r="U2161" i="1"/>
  <c r="Z2161" i="1"/>
  <c r="AA2161" i="1"/>
  <c r="B2162" i="1"/>
  <c r="E2162" i="1"/>
  <c r="K2162" i="1"/>
  <c r="L2162" i="1"/>
  <c r="M2162" i="1"/>
  <c r="N2162" i="1"/>
  <c r="T2162" i="1"/>
  <c r="U2162" i="1"/>
  <c r="Z2162" i="1"/>
  <c r="AA2162" i="1"/>
  <c r="B2163" i="1"/>
  <c r="E2163" i="1"/>
  <c r="K2163" i="1"/>
  <c r="L2163" i="1"/>
  <c r="M2163" i="1"/>
  <c r="N2163" i="1"/>
  <c r="T2163" i="1"/>
  <c r="U2163" i="1"/>
  <c r="Z2163" i="1"/>
  <c r="AA2163" i="1"/>
  <c r="B2164" i="1"/>
  <c r="E2164" i="1"/>
  <c r="K2164" i="1"/>
  <c r="L2164" i="1"/>
  <c r="M2164" i="1"/>
  <c r="N2164" i="1"/>
  <c r="T2164" i="1"/>
  <c r="U2164" i="1"/>
  <c r="Z2164" i="1"/>
  <c r="AA2164" i="1"/>
  <c r="B2165" i="1"/>
  <c r="E2165" i="1"/>
  <c r="K2165" i="1"/>
  <c r="L2165" i="1"/>
  <c r="M2165" i="1"/>
  <c r="N2165" i="1"/>
  <c r="T2165" i="1"/>
  <c r="U2165" i="1"/>
  <c r="Z2165" i="1"/>
  <c r="AA2165" i="1"/>
  <c r="B2166" i="1"/>
  <c r="E2166" i="1"/>
  <c r="K2166" i="1"/>
  <c r="L2166" i="1"/>
  <c r="M2166" i="1"/>
  <c r="N2166" i="1"/>
  <c r="T2166" i="1"/>
  <c r="U2166" i="1"/>
  <c r="Z2166" i="1"/>
  <c r="AA2166" i="1"/>
  <c r="B2167" i="1"/>
  <c r="E2167" i="1"/>
  <c r="K2167" i="1"/>
  <c r="L2167" i="1"/>
  <c r="M2167" i="1"/>
  <c r="N2167" i="1"/>
  <c r="T2167" i="1"/>
  <c r="U2167" i="1"/>
  <c r="Z2167" i="1"/>
  <c r="AA2167" i="1"/>
  <c r="B2168" i="1"/>
  <c r="E2168" i="1"/>
  <c r="K2168" i="1"/>
  <c r="L2168" i="1"/>
  <c r="M2168" i="1"/>
  <c r="N2168" i="1"/>
  <c r="T2168" i="1"/>
  <c r="U2168" i="1"/>
  <c r="Z2168" i="1"/>
  <c r="AA2168" i="1"/>
  <c r="B2169" i="1"/>
  <c r="E2169" i="1"/>
  <c r="K2169" i="1"/>
  <c r="L2169" i="1"/>
  <c r="M2169" i="1"/>
  <c r="N2169" i="1"/>
  <c r="T2169" i="1"/>
  <c r="U2169" i="1"/>
  <c r="Z2169" i="1"/>
  <c r="AA2169" i="1"/>
  <c r="B2170" i="1"/>
  <c r="E2170" i="1"/>
  <c r="K2170" i="1"/>
  <c r="L2170" i="1"/>
  <c r="M2170" i="1"/>
  <c r="N2170" i="1"/>
  <c r="T2170" i="1"/>
  <c r="U2170" i="1"/>
  <c r="Z2170" i="1"/>
  <c r="AA2170" i="1"/>
  <c r="B2171" i="1"/>
  <c r="E2171" i="1"/>
  <c r="K2171" i="1"/>
  <c r="L2171" i="1"/>
  <c r="M2171" i="1"/>
  <c r="N2171" i="1"/>
  <c r="T2171" i="1"/>
  <c r="U2171" i="1"/>
  <c r="Z2171" i="1"/>
  <c r="AA2171" i="1"/>
  <c r="B2172" i="1"/>
  <c r="E2172" i="1"/>
  <c r="K2172" i="1"/>
  <c r="L2172" i="1"/>
  <c r="M2172" i="1"/>
  <c r="N2172" i="1"/>
  <c r="T2172" i="1"/>
  <c r="U2172" i="1"/>
  <c r="Z2172" i="1"/>
  <c r="AA2172" i="1"/>
  <c r="B2173" i="1"/>
  <c r="E2173" i="1"/>
  <c r="K2173" i="1"/>
  <c r="L2173" i="1"/>
  <c r="M2173" i="1"/>
  <c r="N2173" i="1"/>
  <c r="T2173" i="1"/>
  <c r="U2173" i="1"/>
  <c r="Z2173" i="1"/>
  <c r="AA2173" i="1"/>
  <c r="B2174" i="1"/>
  <c r="E2174" i="1"/>
  <c r="K2174" i="1"/>
  <c r="L2174" i="1"/>
  <c r="M2174" i="1"/>
  <c r="N2174" i="1"/>
  <c r="T2174" i="1"/>
  <c r="U2174" i="1"/>
  <c r="Z2174" i="1"/>
  <c r="AA2174" i="1"/>
  <c r="B2175" i="1"/>
  <c r="E2175" i="1"/>
  <c r="K2175" i="1"/>
  <c r="L2175" i="1"/>
  <c r="M2175" i="1"/>
  <c r="N2175" i="1"/>
  <c r="T2175" i="1"/>
  <c r="U2175" i="1"/>
  <c r="Z2175" i="1"/>
  <c r="AA2175" i="1"/>
  <c r="B2176" i="1"/>
  <c r="E2176" i="1"/>
  <c r="K2176" i="1"/>
  <c r="L2176" i="1"/>
  <c r="M2176" i="1"/>
  <c r="N2176" i="1"/>
  <c r="T2176" i="1"/>
  <c r="U2176" i="1"/>
  <c r="Z2176" i="1"/>
  <c r="AA2176" i="1"/>
  <c r="B2177" i="1"/>
  <c r="E2177" i="1"/>
  <c r="K2177" i="1"/>
  <c r="L2177" i="1"/>
  <c r="M2177" i="1"/>
  <c r="N2177" i="1"/>
  <c r="T2177" i="1"/>
  <c r="U2177" i="1"/>
  <c r="Z2177" i="1"/>
  <c r="AA2177" i="1"/>
  <c r="B2178" i="1"/>
  <c r="E2178" i="1"/>
  <c r="K2178" i="1"/>
  <c r="L2178" i="1"/>
  <c r="M2178" i="1"/>
  <c r="N2178" i="1"/>
  <c r="T2178" i="1"/>
  <c r="U2178" i="1"/>
  <c r="Z2178" i="1"/>
  <c r="AA2178" i="1"/>
  <c r="B2179" i="1"/>
  <c r="E2179" i="1"/>
  <c r="K2179" i="1"/>
  <c r="L2179" i="1"/>
  <c r="M2179" i="1"/>
  <c r="N2179" i="1"/>
  <c r="T2179" i="1"/>
  <c r="U2179" i="1"/>
  <c r="Z2179" i="1"/>
  <c r="AA2179" i="1"/>
  <c r="B2180" i="1"/>
  <c r="E2180" i="1"/>
  <c r="K2180" i="1"/>
  <c r="L2180" i="1"/>
  <c r="M2180" i="1"/>
  <c r="N2180" i="1"/>
  <c r="T2180" i="1"/>
  <c r="U2180" i="1"/>
  <c r="Z2180" i="1"/>
  <c r="AA2180" i="1"/>
  <c r="B2181" i="1"/>
  <c r="E2181" i="1"/>
  <c r="K2181" i="1"/>
  <c r="L2181" i="1"/>
  <c r="M2181" i="1"/>
  <c r="N2181" i="1"/>
  <c r="T2181" i="1"/>
  <c r="U2181" i="1"/>
  <c r="Z2181" i="1"/>
  <c r="AA2181" i="1"/>
  <c r="B2182" i="1"/>
  <c r="E2182" i="1"/>
  <c r="K2182" i="1"/>
  <c r="L2182" i="1"/>
  <c r="M2182" i="1"/>
  <c r="N2182" i="1"/>
  <c r="T2182" i="1"/>
  <c r="U2182" i="1"/>
  <c r="Z2182" i="1"/>
  <c r="AA2182" i="1"/>
  <c r="B2183" i="1"/>
  <c r="E2183" i="1"/>
  <c r="K2183" i="1"/>
  <c r="L2183" i="1"/>
  <c r="M2183" i="1"/>
  <c r="N2183" i="1"/>
  <c r="T2183" i="1"/>
  <c r="U2183" i="1"/>
  <c r="Z2183" i="1"/>
  <c r="AA2183" i="1"/>
  <c r="B2184" i="1"/>
  <c r="E2184" i="1"/>
  <c r="K2184" i="1"/>
  <c r="L2184" i="1"/>
  <c r="M2184" i="1"/>
  <c r="N2184" i="1"/>
  <c r="T2184" i="1"/>
  <c r="U2184" i="1"/>
  <c r="Z2184" i="1"/>
  <c r="AA2184" i="1"/>
  <c r="B2185" i="1"/>
  <c r="E2185" i="1"/>
  <c r="K2185" i="1"/>
  <c r="L2185" i="1"/>
  <c r="M2185" i="1"/>
  <c r="N2185" i="1"/>
  <c r="T2185" i="1"/>
  <c r="U2185" i="1"/>
  <c r="Z2185" i="1"/>
  <c r="AA2185" i="1"/>
  <c r="B2186" i="1"/>
  <c r="E2186" i="1"/>
  <c r="K2186" i="1"/>
  <c r="L2186" i="1"/>
  <c r="M2186" i="1"/>
  <c r="N2186" i="1"/>
  <c r="T2186" i="1"/>
  <c r="U2186" i="1"/>
  <c r="Z2186" i="1"/>
  <c r="AA2186" i="1"/>
  <c r="B2187" i="1"/>
  <c r="E2187" i="1"/>
  <c r="K2187" i="1"/>
  <c r="L2187" i="1"/>
  <c r="M2187" i="1"/>
  <c r="N2187" i="1"/>
  <c r="T2187" i="1"/>
  <c r="U2187" i="1"/>
  <c r="Z2187" i="1"/>
  <c r="AA2187" i="1"/>
  <c r="B2188" i="1"/>
  <c r="E2188" i="1"/>
  <c r="K2188" i="1"/>
  <c r="L2188" i="1"/>
  <c r="M2188" i="1"/>
  <c r="N2188" i="1"/>
  <c r="T2188" i="1"/>
  <c r="U2188" i="1"/>
  <c r="Z2188" i="1"/>
  <c r="AA2188" i="1"/>
  <c r="B2189" i="1"/>
  <c r="E2189" i="1"/>
  <c r="K2189" i="1"/>
  <c r="L2189" i="1"/>
  <c r="M2189" i="1"/>
  <c r="N2189" i="1"/>
  <c r="T2189" i="1"/>
  <c r="U2189" i="1"/>
  <c r="Z2189" i="1"/>
  <c r="AA2189" i="1"/>
  <c r="B2190" i="1"/>
  <c r="E2190" i="1"/>
  <c r="K2190" i="1"/>
  <c r="L2190" i="1"/>
  <c r="M2190" i="1"/>
  <c r="N2190" i="1"/>
  <c r="T2190" i="1"/>
  <c r="U2190" i="1"/>
  <c r="Z2190" i="1"/>
  <c r="AA2190" i="1"/>
  <c r="B2191" i="1"/>
  <c r="E2191" i="1"/>
  <c r="K2191" i="1"/>
  <c r="L2191" i="1"/>
  <c r="M2191" i="1"/>
  <c r="N2191" i="1"/>
  <c r="T2191" i="1"/>
  <c r="U2191" i="1"/>
  <c r="Z2191" i="1"/>
  <c r="AA2191" i="1"/>
  <c r="B2192" i="1"/>
  <c r="E2192" i="1"/>
  <c r="K2192" i="1"/>
  <c r="L2192" i="1"/>
  <c r="M2192" i="1"/>
  <c r="N2192" i="1"/>
  <c r="T2192" i="1"/>
  <c r="U2192" i="1"/>
  <c r="Z2192" i="1"/>
  <c r="AA2192" i="1"/>
  <c r="B2193" i="1"/>
  <c r="E2193" i="1"/>
  <c r="K2193" i="1"/>
  <c r="L2193" i="1"/>
  <c r="M2193" i="1"/>
  <c r="N2193" i="1"/>
  <c r="T2193" i="1"/>
  <c r="U2193" i="1"/>
  <c r="Z2193" i="1"/>
  <c r="AA2193" i="1"/>
  <c r="B2194" i="1"/>
  <c r="E2194" i="1"/>
  <c r="K2194" i="1"/>
  <c r="L2194" i="1"/>
  <c r="M2194" i="1"/>
  <c r="N2194" i="1"/>
  <c r="T2194" i="1"/>
  <c r="U2194" i="1"/>
  <c r="Z2194" i="1"/>
  <c r="AA2194" i="1"/>
  <c r="B2195" i="1"/>
  <c r="E2195" i="1"/>
  <c r="K2195" i="1"/>
  <c r="L2195" i="1"/>
  <c r="M2195" i="1"/>
  <c r="N2195" i="1"/>
  <c r="T2195" i="1"/>
  <c r="U2195" i="1"/>
  <c r="Z2195" i="1"/>
  <c r="AA2195" i="1"/>
  <c r="B2196" i="1"/>
  <c r="E2196" i="1"/>
  <c r="K2196" i="1"/>
  <c r="L2196" i="1"/>
  <c r="M2196" i="1"/>
  <c r="N2196" i="1"/>
  <c r="T2196" i="1"/>
  <c r="U2196" i="1"/>
  <c r="Z2196" i="1"/>
  <c r="AA2196" i="1"/>
  <c r="B2197" i="1"/>
  <c r="E2197" i="1"/>
  <c r="K2197" i="1"/>
  <c r="L2197" i="1"/>
  <c r="M2197" i="1"/>
  <c r="N2197" i="1"/>
  <c r="T2197" i="1"/>
  <c r="U2197" i="1"/>
  <c r="Z2197" i="1"/>
  <c r="AA2197" i="1"/>
  <c r="B2198" i="1"/>
  <c r="E2198" i="1"/>
  <c r="K2198" i="1"/>
  <c r="L2198" i="1"/>
  <c r="M2198" i="1"/>
  <c r="N2198" i="1"/>
  <c r="T2198" i="1"/>
  <c r="U2198" i="1"/>
  <c r="Z2198" i="1"/>
  <c r="AA2198" i="1"/>
  <c r="B2199" i="1"/>
  <c r="E2199" i="1"/>
  <c r="K2199" i="1"/>
  <c r="L2199" i="1"/>
  <c r="M2199" i="1"/>
  <c r="N2199" i="1"/>
  <c r="T2199" i="1"/>
  <c r="U2199" i="1"/>
  <c r="Z2199" i="1"/>
  <c r="AA2199" i="1"/>
  <c r="B2200" i="1"/>
  <c r="E2200" i="1"/>
  <c r="K2200" i="1"/>
  <c r="L2200" i="1"/>
  <c r="M2200" i="1"/>
  <c r="N2200" i="1"/>
  <c r="T2200" i="1"/>
  <c r="U2200" i="1"/>
  <c r="Z2200" i="1"/>
  <c r="AA2200" i="1"/>
  <c r="B2201" i="1"/>
  <c r="E2201" i="1"/>
  <c r="K2201" i="1"/>
  <c r="L2201" i="1"/>
  <c r="M2201" i="1"/>
  <c r="N2201" i="1"/>
  <c r="T2201" i="1"/>
  <c r="U2201" i="1"/>
  <c r="Z2201" i="1"/>
  <c r="AA2201" i="1"/>
  <c r="B2202" i="1"/>
  <c r="E2202" i="1"/>
  <c r="K2202" i="1"/>
  <c r="L2202" i="1"/>
  <c r="M2202" i="1"/>
  <c r="N2202" i="1"/>
  <c r="T2202" i="1"/>
  <c r="U2202" i="1"/>
  <c r="Z2202" i="1"/>
  <c r="AA2202" i="1"/>
  <c r="B2203" i="1"/>
  <c r="E2203" i="1"/>
  <c r="K2203" i="1"/>
  <c r="L2203" i="1"/>
  <c r="M2203" i="1"/>
  <c r="N2203" i="1"/>
  <c r="T2203" i="1"/>
  <c r="U2203" i="1"/>
  <c r="Z2203" i="1"/>
  <c r="AA2203" i="1"/>
  <c r="B2204" i="1"/>
  <c r="E2204" i="1"/>
  <c r="K2204" i="1"/>
  <c r="L2204" i="1"/>
  <c r="M2204" i="1"/>
  <c r="N2204" i="1"/>
  <c r="T2204" i="1"/>
  <c r="U2204" i="1"/>
  <c r="Z2204" i="1"/>
  <c r="AA2204" i="1"/>
  <c r="B2205" i="1"/>
  <c r="E2205" i="1"/>
  <c r="K2205" i="1"/>
  <c r="L2205" i="1"/>
  <c r="M2205" i="1"/>
  <c r="N2205" i="1"/>
  <c r="T2205" i="1"/>
  <c r="U2205" i="1"/>
  <c r="Z2205" i="1"/>
  <c r="AA2205" i="1"/>
  <c r="B2206" i="1"/>
  <c r="E2206" i="1"/>
  <c r="K2206" i="1"/>
  <c r="L2206" i="1"/>
  <c r="M2206" i="1"/>
  <c r="N2206" i="1"/>
  <c r="T2206" i="1"/>
  <c r="U2206" i="1"/>
  <c r="Z2206" i="1"/>
  <c r="AA2206" i="1"/>
  <c r="B2207" i="1"/>
  <c r="E2207" i="1"/>
  <c r="K2207" i="1"/>
  <c r="L2207" i="1"/>
  <c r="M2207" i="1"/>
  <c r="N2207" i="1"/>
  <c r="T2207" i="1"/>
  <c r="U2207" i="1"/>
  <c r="Z2207" i="1"/>
  <c r="AA2207" i="1"/>
  <c r="B2208" i="1"/>
  <c r="E2208" i="1"/>
  <c r="K2208" i="1"/>
  <c r="L2208" i="1"/>
  <c r="M2208" i="1"/>
  <c r="N2208" i="1"/>
  <c r="T2208" i="1"/>
  <c r="U2208" i="1"/>
  <c r="Z2208" i="1"/>
  <c r="AA2208" i="1"/>
  <c r="B2209" i="1"/>
  <c r="E2209" i="1"/>
  <c r="K2209" i="1"/>
  <c r="L2209" i="1"/>
  <c r="M2209" i="1"/>
  <c r="N2209" i="1"/>
  <c r="T2209" i="1"/>
  <c r="U2209" i="1"/>
  <c r="Z2209" i="1"/>
  <c r="AA2209" i="1"/>
  <c r="B2210" i="1"/>
  <c r="E2210" i="1"/>
  <c r="K2210" i="1"/>
  <c r="L2210" i="1"/>
  <c r="M2210" i="1"/>
  <c r="N2210" i="1"/>
  <c r="T2210" i="1"/>
  <c r="U2210" i="1"/>
  <c r="Z2210" i="1"/>
  <c r="AA2210" i="1"/>
  <c r="B2211" i="1"/>
  <c r="E2211" i="1"/>
  <c r="K2211" i="1"/>
  <c r="L2211" i="1"/>
  <c r="M2211" i="1"/>
  <c r="N2211" i="1"/>
  <c r="T2211" i="1"/>
  <c r="U2211" i="1"/>
  <c r="Z2211" i="1"/>
  <c r="AA2211" i="1"/>
  <c r="B2212" i="1"/>
  <c r="E2212" i="1"/>
  <c r="K2212" i="1"/>
  <c r="L2212" i="1"/>
  <c r="M2212" i="1"/>
  <c r="N2212" i="1"/>
  <c r="T2212" i="1"/>
  <c r="U2212" i="1"/>
  <c r="Z2212" i="1"/>
  <c r="AA2212" i="1"/>
  <c r="B2213" i="1"/>
  <c r="E2213" i="1"/>
  <c r="K2213" i="1"/>
  <c r="L2213" i="1"/>
  <c r="M2213" i="1"/>
  <c r="N2213" i="1"/>
  <c r="T2213" i="1"/>
  <c r="U2213" i="1"/>
  <c r="Z2213" i="1"/>
  <c r="AA2213" i="1"/>
  <c r="B2214" i="1"/>
  <c r="E2214" i="1"/>
  <c r="K2214" i="1"/>
  <c r="L2214" i="1"/>
  <c r="M2214" i="1"/>
  <c r="N2214" i="1"/>
  <c r="T2214" i="1"/>
  <c r="U2214" i="1"/>
  <c r="Z2214" i="1"/>
  <c r="AA2214" i="1"/>
  <c r="B2215" i="1"/>
  <c r="E2215" i="1"/>
  <c r="K2215" i="1"/>
  <c r="L2215" i="1"/>
  <c r="M2215" i="1"/>
  <c r="N2215" i="1"/>
  <c r="T2215" i="1"/>
  <c r="U2215" i="1"/>
  <c r="Z2215" i="1"/>
  <c r="AA2215" i="1"/>
  <c r="B2216" i="1"/>
  <c r="E2216" i="1"/>
  <c r="K2216" i="1"/>
  <c r="L2216" i="1"/>
  <c r="M2216" i="1"/>
  <c r="N2216" i="1"/>
  <c r="T2216" i="1"/>
  <c r="U2216" i="1"/>
  <c r="Z2216" i="1"/>
  <c r="AA2216" i="1"/>
  <c r="B2217" i="1"/>
  <c r="E2217" i="1"/>
  <c r="K2217" i="1"/>
  <c r="L2217" i="1"/>
  <c r="M2217" i="1"/>
  <c r="N2217" i="1"/>
  <c r="T2217" i="1"/>
  <c r="U2217" i="1"/>
  <c r="Z2217" i="1"/>
  <c r="AA2217" i="1"/>
  <c r="B2218" i="1"/>
  <c r="E2218" i="1"/>
  <c r="K2218" i="1"/>
  <c r="L2218" i="1"/>
  <c r="M2218" i="1"/>
  <c r="N2218" i="1"/>
  <c r="T2218" i="1"/>
  <c r="U2218" i="1"/>
  <c r="Z2218" i="1"/>
  <c r="AA2218" i="1"/>
  <c r="B2219" i="1"/>
  <c r="E2219" i="1"/>
  <c r="K2219" i="1"/>
  <c r="L2219" i="1"/>
  <c r="M2219" i="1"/>
  <c r="N2219" i="1"/>
  <c r="T2219" i="1"/>
  <c r="U2219" i="1"/>
  <c r="Z2219" i="1"/>
  <c r="AA2219" i="1"/>
  <c r="B2220" i="1"/>
  <c r="E2220" i="1"/>
  <c r="K2220" i="1"/>
  <c r="L2220" i="1"/>
  <c r="M2220" i="1"/>
  <c r="N2220" i="1"/>
  <c r="T2220" i="1"/>
  <c r="U2220" i="1"/>
  <c r="Z2220" i="1"/>
  <c r="AA2220" i="1"/>
  <c r="B2221" i="1"/>
  <c r="E2221" i="1"/>
  <c r="K2221" i="1"/>
  <c r="L2221" i="1"/>
  <c r="M2221" i="1"/>
  <c r="N2221" i="1"/>
  <c r="T2221" i="1"/>
  <c r="U2221" i="1"/>
  <c r="Z2221" i="1"/>
  <c r="AA2221" i="1"/>
  <c r="B2222" i="1"/>
  <c r="E2222" i="1"/>
  <c r="K2222" i="1"/>
  <c r="L2222" i="1"/>
  <c r="M2222" i="1"/>
  <c r="N2222" i="1"/>
  <c r="T2222" i="1"/>
  <c r="U2222" i="1"/>
  <c r="Z2222" i="1"/>
  <c r="AA2222" i="1"/>
  <c r="B2223" i="1"/>
  <c r="E2223" i="1"/>
  <c r="K2223" i="1"/>
  <c r="L2223" i="1"/>
  <c r="M2223" i="1"/>
  <c r="N2223" i="1"/>
  <c r="T2223" i="1"/>
  <c r="U2223" i="1"/>
  <c r="Z2223" i="1"/>
  <c r="AA2223" i="1"/>
  <c r="B2224" i="1"/>
  <c r="E2224" i="1"/>
  <c r="K2224" i="1"/>
  <c r="L2224" i="1"/>
  <c r="M2224" i="1"/>
  <c r="N2224" i="1"/>
  <c r="T2224" i="1"/>
  <c r="U2224" i="1"/>
  <c r="Z2224" i="1"/>
  <c r="AA2224" i="1"/>
  <c r="B2225" i="1"/>
  <c r="E2225" i="1"/>
  <c r="K2225" i="1"/>
  <c r="L2225" i="1"/>
  <c r="M2225" i="1"/>
  <c r="N2225" i="1"/>
  <c r="T2225" i="1"/>
  <c r="U2225" i="1"/>
  <c r="Z2225" i="1"/>
  <c r="AA2225" i="1"/>
  <c r="B2226" i="1"/>
  <c r="E2226" i="1"/>
  <c r="K2226" i="1"/>
  <c r="L2226" i="1"/>
  <c r="M2226" i="1"/>
  <c r="N2226" i="1"/>
  <c r="T2226" i="1"/>
  <c r="U2226" i="1"/>
  <c r="Z2226" i="1"/>
  <c r="AA2226" i="1"/>
  <c r="B2227" i="1"/>
  <c r="E2227" i="1"/>
  <c r="K2227" i="1"/>
  <c r="L2227" i="1"/>
  <c r="M2227" i="1"/>
  <c r="N2227" i="1"/>
  <c r="T2227" i="1"/>
  <c r="U2227" i="1"/>
  <c r="Z2227" i="1"/>
  <c r="AA2227" i="1"/>
  <c r="B2228" i="1"/>
  <c r="E2228" i="1"/>
  <c r="K2228" i="1"/>
  <c r="L2228" i="1"/>
  <c r="M2228" i="1"/>
  <c r="N2228" i="1"/>
  <c r="T2228" i="1"/>
  <c r="U2228" i="1"/>
  <c r="Z2228" i="1"/>
  <c r="AA2228" i="1"/>
  <c r="B2229" i="1"/>
  <c r="E2229" i="1"/>
  <c r="K2229" i="1"/>
  <c r="L2229" i="1"/>
  <c r="M2229" i="1"/>
  <c r="N2229" i="1"/>
  <c r="T2229" i="1"/>
  <c r="U2229" i="1"/>
  <c r="Z2229" i="1"/>
  <c r="AA2229" i="1"/>
  <c r="B2230" i="1"/>
  <c r="E2230" i="1"/>
  <c r="K2230" i="1"/>
  <c r="L2230" i="1"/>
  <c r="M2230" i="1"/>
  <c r="N2230" i="1"/>
  <c r="T2230" i="1"/>
  <c r="U2230" i="1"/>
  <c r="Z2230" i="1"/>
  <c r="AA2230" i="1"/>
  <c r="B2231" i="1"/>
  <c r="E2231" i="1"/>
  <c r="K2231" i="1"/>
  <c r="L2231" i="1"/>
  <c r="M2231" i="1"/>
  <c r="N2231" i="1"/>
  <c r="T2231" i="1"/>
  <c r="U2231" i="1"/>
  <c r="Z2231" i="1"/>
  <c r="AA2231" i="1"/>
  <c r="B2232" i="1"/>
  <c r="E2232" i="1"/>
  <c r="K2232" i="1"/>
  <c r="L2232" i="1"/>
  <c r="M2232" i="1"/>
  <c r="N2232" i="1"/>
  <c r="T2232" i="1"/>
  <c r="U2232" i="1"/>
  <c r="Z2232" i="1"/>
  <c r="AA2232" i="1"/>
  <c r="B2233" i="1"/>
  <c r="E2233" i="1"/>
  <c r="K2233" i="1"/>
  <c r="L2233" i="1"/>
  <c r="M2233" i="1"/>
  <c r="N2233" i="1"/>
  <c r="T2233" i="1"/>
  <c r="U2233" i="1"/>
  <c r="Z2233" i="1"/>
  <c r="AA2233" i="1"/>
  <c r="B2234" i="1"/>
  <c r="E2234" i="1"/>
  <c r="K2234" i="1"/>
  <c r="L2234" i="1"/>
  <c r="M2234" i="1"/>
  <c r="N2234" i="1"/>
  <c r="T2234" i="1"/>
  <c r="U2234" i="1"/>
  <c r="Z2234" i="1"/>
  <c r="AA2234" i="1"/>
  <c r="B2235" i="1"/>
  <c r="E2235" i="1"/>
  <c r="K2235" i="1"/>
  <c r="L2235" i="1"/>
  <c r="M2235" i="1"/>
  <c r="N2235" i="1"/>
  <c r="T2235" i="1"/>
  <c r="U2235" i="1"/>
  <c r="Z2235" i="1"/>
  <c r="AA2235" i="1"/>
  <c r="B2236" i="1"/>
  <c r="E2236" i="1"/>
  <c r="K2236" i="1"/>
  <c r="L2236" i="1"/>
  <c r="M2236" i="1"/>
  <c r="N2236" i="1"/>
  <c r="T2236" i="1"/>
  <c r="U2236" i="1"/>
  <c r="Z2236" i="1"/>
  <c r="AA2236" i="1"/>
  <c r="B2237" i="1"/>
  <c r="E2237" i="1"/>
  <c r="K2237" i="1"/>
  <c r="L2237" i="1"/>
  <c r="M2237" i="1"/>
  <c r="N2237" i="1"/>
  <c r="T2237" i="1"/>
  <c r="U2237" i="1"/>
  <c r="Z2237" i="1"/>
  <c r="AA2237" i="1"/>
  <c r="B2238" i="1"/>
  <c r="E2238" i="1"/>
  <c r="K2238" i="1"/>
  <c r="L2238" i="1"/>
  <c r="M2238" i="1"/>
  <c r="N2238" i="1"/>
  <c r="T2238" i="1"/>
  <c r="U2238" i="1"/>
  <c r="Z2238" i="1"/>
  <c r="AA2238" i="1"/>
  <c r="B2239" i="1"/>
  <c r="E2239" i="1"/>
  <c r="K2239" i="1"/>
  <c r="L2239" i="1"/>
  <c r="M2239" i="1"/>
  <c r="N2239" i="1"/>
  <c r="T2239" i="1"/>
  <c r="U2239" i="1"/>
  <c r="Z2239" i="1"/>
  <c r="AA2239" i="1"/>
  <c r="B2240" i="1"/>
  <c r="E2240" i="1"/>
  <c r="K2240" i="1"/>
  <c r="L2240" i="1"/>
  <c r="M2240" i="1"/>
  <c r="N2240" i="1"/>
  <c r="T2240" i="1"/>
  <c r="U2240" i="1"/>
  <c r="Z2240" i="1"/>
  <c r="AA2240" i="1"/>
  <c r="B2241" i="1"/>
  <c r="E2241" i="1"/>
  <c r="K2241" i="1"/>
  <c r="L2241" i="1"/>
  <c r="M2241" i="1"/>
  <c r="N2241" i="1"/>
  <c r="T2241" i="1"/>
  <c r="U2241" i="1"/>
  <c r="Z2241" i="1"/>
  <c r="AA2241" i="1"/>
  <c r="B2242" i="1"/>
  <c r="E2242" i="1"/>
  <c r="K2242" i="1"/>
  <c r="L2242" i="1"/>
  <c r="M2242" i="1"/>
  <c r="N2242" i="1"/>
  <c r="T2242" i="1"/>
  <c r="U2242" i="1"/>
  <c r="Z2242" i="1"/>
  <c r="AA2242" i="1"/>
  <c r="B2243" i="1"/>
  <c r="E2243" i="1"/>
  <c r="K2243" i="1"/>
  <c r="L2243" i="1"/>
  <c r="M2243" i="1"/>
  <c r="N2243" i="1"/>
  <c r="T2243" i="1"/>
  <c r="U2243" i="1"/>
  <c r="Z2243" i="1"/>
  <c r="AA2243" i="1"/>
  <c r="B2244" i="1"/>
  <c r="E2244" i="1"/>
  <c r="K2244" i="1"/>
  <c r="L2244" i="1"/>
  <c r="M2244" i="1"/>
  <c r="N2244" i="1"/>
  <c r="T2244" i="1"/>
  <c r="U2244" i="1"/>
  <c r="Z2244" i="1"/>
  <c r="AA2244" i="1"/>
  <c r="B2245" i="1"/>
  <c r="E2245" i="1"/>
  <c r="K2245" i="1"/>
  <c r="L2245" i="1"/>
  <c r="M2245" i="1"/>
  <c r="N2245" i="1"/>
  <c r="T2245" i="1"/>
  <c r="U2245" i="1"/>
  <c r="Z2245" i="1"/>
  <c r="AA2245" i="1"/>
  <c r="B2246" i="1"/>
  <c r="E2246" i="1"/>
  <c r="K2246" i="1"/>
  <c r="L2246" i="1"/>
  <c r="M2246" i="1"/>
  <c r="N2246" i="1"/>
  <c r="T2246" i="1"/>
  <c r="U2246" i="1"/>
  <c r="Z2246" i="1"/>
  <c r="AA2246" i="1"/>
  <c r="B2247" i="1"/>
  <c r="E2247" i="1"/>
  <c r="K2247" i="1"/>
  <c r="L2247" i="1"/>
  <c r="M2247" i="1"/>
  <c r="N2247" i="1"/>
  <c r="T2247" i="1"/>
  <c r="U2247" i="1"/>
  <c r="Z2247" i="1"/>
  <c r="AA2247" i="1"/>
  <c r="B2248" i="1"/>
  <c r="E2248" i="1"/>
  <c r="K2248" i="1"/>
  <c r="L2248" i="1"/>
  <c r="M2248" i="1"/>
  <c r="N2248" i="1"/>
  <c r="T2248" i="1"/>
  <c r="U2248" i="1"/>
  <c r="Z2248" i="1"/>
  <c r="AA2248" i="1"/>
  <c r="B2249" i="1"/>
  <c r="E2249" i="1"/>
  <c r="K2249" i="1"/>
  <c r="L2249" i="1"/>
  <c r="M2249" i="1"/>
  <c r="N2249" i="1"/>
  <c r="T2249" i="1"/>
  <c r="U2249" i="1"/>
  <c r="Z2249" i="1"/>
  <c r="AA2249" i="1"/>
  <c r="B2250" i="1"/>
  <c r="E2250" i="1"/>
  <c r="K2250" i="1"/>
  <c r="L2250" i="1"/>
  <c r="M2250" i="1"/>
  <c r="N2250" i="1"/>
  <c r="T2250" i="1"/>
  <c r="U2250" i="1"/>
  <c r="Z2250" i="1"/>
  <c r="AA2250" i="1"/>
  <c r="B2251" i="1"/>
  <c r="E2251" i="1"/>
  <c r="K2251" i="1"/>
  <c r="L2251" i="1"/>
  <c r="M2251" i="1"/>
  <c r="N2251" i="1"/>
  <c r="T2251" i="1"/>
  <c r="U2251" i="1"/>
  <c r="Z2251" i="1"/>
  <c r="AA2251" i="1"/>
  <c r="B2252" i="1"/>
  <c r="E2252" i="1"/>
  <c r="K2252" i="1"/>
  <c r="L2252" i="1"/>
  <c r="M2252" i="1"/>
  <c r="N2252" i="1"/>
  <c r="T2252" i="1"/>
  <c r="U2252" i="1"/>
  <c r="Z2252" i="1"/>
  <c r="AA2252" i="1"/>
  <c r="B2253" i="1"/>
  <c r="E2253" i="1"/>
  <c r="K2253" i="1"/>
  <c r="L2253" i="1"/>
  <c r="M2253" i="1"/>
  <c r="N2253" i="1"/>
  <c r="T2253" i="1"/>
  <c r="U2253" i="1"/>
  <c r="Z2253" i="1"/>
  <c r="AA2253" i="1"/>
  <c r="B2254" i="1"/>
  <c r="E2254" i="1"/>
  <c r="K2254" i="1"/>
  <c r="L2254" i="1"/>
  <c r="M2254" i="1"/>
  <c r="N2254" i="1"/>
  <c r="T2254" i="1"/>
  <c r="U2254" i="1"/>
  <c r="Z2254" i="1"/>
  <c r="AA2254" i="1"/>
  <c r="B2255" i="1"/>
  <c r="E2255" i="1"/>
  <c r="K2255" i="1"/>
  <c r="L2255" i="1"/>
  <c r="M2255" i="1"/>
  <c r="N2255" i="1"/>
  <c r="T2255" i="1"/>
  <c r="U2255" i="1"/>
  <c r="Z2255" i="1"/>
  <c r="AA2255" i="1"/>
  <c r="B2256" i="1"/>
  <c r="E2256" i="1"/>
  <c r="K2256" i="1"/>
  <c r="L2256" i="1"/>
  <c r="M2256" i="1"/>
  <c r="N2256" i="1"/>
  <c r="T2256" i="1"/>
  <c r="U2256" i="1"/>
  <c r="Z2256" i="1"/>
  <c r="AA2256" i="1"/>
  <c r="B2257" i="1"/>
  <c r="E2257" i="1"/>
  <c r="K2257" i="1"/>
  <c r="L2257" i="1"/>
  <c r="M2257" i="1"/>
  <c r="N2257" i="1"/>
  <c r="T2257" i="1"/>
  <c r="U2257" i="1"/>
  <c r="Z2257" i="1"/>
  <c r="AA2257" i="1"/>
  <c r="B2258" i="1"/>
  <c r="E2258" i="1"/>
  <c r="K2258" i="1"/>
  <c r="L2258" i="1"/>
  <c r="M2258" i="1"/>
  <c r="N2258" i="1"/>
  <c r="T2258" i="1"/>
  <c r="U2258" i="1"/>
  <c r="Z2258" i="1"/>
  <c r="AA2258" i="1"/>
  <c r="B2259" i="1"/>
  <c r="E2259" i="1"/>
  <c r="K2259" i="1"/>
  <c r="L2259" i="1"/>
  <c r="M2259" i="1"/>
  <c r="N2259" i="1"/>
  <c r="T2259" i="1"/>
  <c r="U2259" i="1"/>
  <c r="Z2259" i="1"/>
  <c r="AA2259" i="1"/>
  <c r="B2260" i="1"/>
  <c r="E2260" i="1"/>
  <c r="K2260" i="1"/>
  <c r="L2260" i="1"/>
  <c r="M2260" i="1"/>
  <c r="N2260" i="1"/>
  <c r="T2260" i="1"/>
  <c r="U2260" i="1"/>
  <c r="Z2260" i="1"/>
  <c r="AA2260" i="1"/>
  <c r="B2261" i="1"/>
  <c r="E2261" i="1"/>
  <c r="K2261" i="1"/>
  <c r="L2261" i="1"/>
  <c r="M2261" i="1"/>
  <c r="N2261" i="1"/>
  <c r="T2261" i="1"/>
  <c r="U2261" i="1"/>
  <c r="Z2261" i="1"/>
  <c r="AA2261" i="1"/>
  <c r="B2262" i="1"/>
  <c r="E2262" i="1"/>
  <c r="K2262" i="1"/>
  <c r="L2262" i="1"/>
  <c r="M2262" i="1"/>
  <c r="N2262" i="1"/>
  <c r="T2262" i="1"/>
  <c r="U2262" i="1"/>
  <c r="Z2262" i="1"/>
  <c r="AA2262" i="1"/>
  <c r="B2263" i="1"/>
  <c r="E2263" i="1"/>
  <c r="K2263" i="1"/>
  <c r="L2263" i="1"/>
  <c r="M2263" i="1"/>
  <c r="N2263" i="1"/>
  <c r="T2263" i="1"/>
  <c r="U2263" i="1"/>
  <c r="Z2263" i="1"/>
  <c r="AA2263" i="1"/>
  <c r="B2264" i="1"/>
  <c r="E2264" i="1"/>
  <c r="K2264" i="1"/>
  <c r="L2264" i="1"/>
  <c r="M2264" i="1"/>
  <c r="N2264" i="1"/>
  <c r="T2264" i="1"/>
  <c r="U2264" i="1"/>
  <c r="Z2264" i="1"/>
  <c r="AA2264" i="1"/>
  <c r="B2265" i="1"/>
  <c r="E2265" i="1"/>
  <c r="K2265" i="1"/>
  <c r="L2265" i="1"/>
  <c r="M2265" i="1"/>
  <c r="N2265" i="1"/>
  <c r="T2265" i="1"/>
  <c r="U2265" i="1"/>
  <c r="Z2265" i="1"/>
  <c r="AA2265" i="1"/>
  <c r="B2266" i="1"/>
  <c r="E2266" i="1"/>
  <c r="K2266" i="1"/>
  <c r="L2266" i="1"/>
  <c r="M2266" i="1"/>
  <c r="N2266" i="1"/>
  <c r="T2266" i="1"/>
  <c r="U2266" i="1"/>
  <c r="Z2266" i="1"/>
  <c r="AA2266" i="1"/>
  <c r="B2267" i="1"/>
  <c r="E2267" i="1"/>
  <c r="K2267" i="1"/>
  <c r="L2267" i="1"/>
  <c r="M2267" i="1"/>
  <c r="N2267" i="1"/>
  <c r="T2267" i="1"/>
  <c r="U2267" i="1"/>
  <c r="Z2267" i="1"/>
  <c r="AA2267" i="1"/>
  <c r="B2268" i="1"/>
  <c r="E2268" i="1"/>
  <c r="K2268" i="1"/>
  <c r="L2268" i="1"/>
  <c r="M2268" i="1"/>
  <c r="N2268" i="1"/>
  <c r="T2268" i="1"/>
  <c r="U2268" i="1"/>
  <c r="Z2268" i="1"/>
  <c r="AA2268" i="1"/>
  <c r="B2269" i="1"/>
  <c r="E2269" i="1"/>
  <c r="K2269" i="1"/>
  <c r="L2269" i="1"/>
  <c r="M2269" i="1"/>
  <c r="N2269" i="1"/>
  <c r="T2269" i="1"/>
  <c r="U2269" i="1"/>
  <c r="Z2269" i="1"/>
  <c r="AA2269" i="1"/>
  <c r="B2270" i="1"/>
  <c r="E2270" i="1"/>
  <c r="K2270" i="1"/>
  <c r="L2270" i="1"/>
  <c r="M2270" i="1"/>
  <c r="N2270" i="1"/>
  <c r="T2270" i="1"/>
  <c r="U2270" i="1"/>
  <c r="Z2270" i="1"/>
  <c r="AA2270" i="1"/>
  <c r="B2271" i="1"/>
  <c r="E2271" i="1"/>
  <c r="K2271" i="1"/>
  <c r="L2271" i="1"/>
  <c r="M2271" i="1"/>
  <c r="N2271" i="1"/>
  <c r="T2271" i="1"/>
  <c r="U2271" i="1"/>
  <c r="Z2271" i="1"/>
  <c r="AA2271" i="1"/>
  <c r="B2272" i="1"/>
  <c r="E2272" i="1"/>
  <c r="K2272" i="1"/>
  <c r="L2272" i="1"/>
  <c r="M2272" i="1"/>
  <c r="N2272" i="1"/>
  <c r="T2272" i="1"/>
  <c r="U2272" i="1"/>
  <c r="Z2272" i="1"/>
  <c r="AA2272" i="1"/>
  <c r="B2273" i="1"/>
  <c r="E2273" i="1"/>
  <c r="K2273" i="1"/>
  <c r="L2273" i="1"/>
  <c r="M2273" i="1"/>
  <c r="N2273" i="1"/>
  <c r="T2273" i="1"/>
  <c r="U2273" i="1"/>
  <c r="Z2273" i="1"/>
  <c r="AA2273" i="1"/>
  <c r="B2274" i="1"/>
  <c r="E2274" i="1"/>
  <c r="K2274" i="1"/>
  <c r="L2274" i="1"/>
  <c r="M2274" i="1"/>
  <c r="N2274" i="1"/>
  <c r="T2274" i="1"/>
  <c r="U2274" i="1"/>
  <c r="Z2274" i="1"/>
  <c r="AA2274" i="1"/>
  <c r="B2275" i="1"/>
  <c r="E2275" i="1"/>
  <c r="K2275" i="1"/>
  <c r="L2275" i="1"/>
  <c r="M2275" i="1"/>
  <c r="N2275" i="1"/>
  <c r="T2275" i="1"/>
  <c r="U2275" i="1"/>
  <c r="Z2275" i="1"/>
  <c r="AA2275" i="1"/>
  <c r="B2276" i="1"/>
  <c r="E2276" i="1"/>
  <c r="K2276" i="1"/>
  <c r="L2276" i="1"/>
  <c r="M2276" i="1"/>
  <c r="N2276" i="1"/>
  <c r="T2276" i="1"/>
  <c r="U2276" i="1"/>
  <c r="Z2276" i="1"/>
  <c r="AA2276" i="1"/>
  <c r="B2277" i="1"/>
  <c r="E2277" i="1"/>
  <c r="K2277" i="1"/>
  <c r="L2277" i="1"/>
  <c r="M2277" i="1"/>
  <c r="N2277" i="1"/>
  <c r="T2277" i="1"/>
  <c r="U2277" i="1"/>
  <c r="Z2277" i="1"/>
  <c r="AA2277" i="1"/>
  <c r="B2278" i="1"/>
  <c r="E2278" i="1"/>
  <c r="K2278" i="1"/>
  <c r="L2278" i="1"/>
  <c r="M2278" i="1"/>
  <c r="N2278" i="1"/>
  <c r="T2278" i="1"/>
  <c r="U2278" i="1"/>
  <c r="Z2278" i="1"/>
  <c r="AA2278" i="1"/>
  <c r="B2279" i="1"/>
  <c r="E2279" i="1"/>
  <c r="K2279" i="1"/>
  <c r="L2279" i="1"/>
  <c r="M2279" i="1"/>
  <c r="N2279" i="1"/>
  <c r="T2279" i="1"/>
  <c r="U2279" i="1"/>
  <c r="Z2279" i="1"/>
  <c r="AA2279" i="1"/>
  <c r="B2280" i="1"/>
  <c r="E2280" i="1"/>
  <c r="K2280" i="1"/>
  <c r="L2280" i="1"/>
  <c r="M2280" i="1"/>
  <c r="N2280" i="1"/>
  <c r="T2280" i="1"/>
  <c r="U2280" i="1"/>
  <c r="Z2280" i="1"/>
  <c r="AA2280" i="1"/>
  <c r="B2281" i="1"/>
  <c r="E2281" i="1"/>
  <c r="K2281" i="1"/>
  <c r="L2281" i="1"/>
  <c r="M2281" i="1"/>
  <c r="N2281" i="1"/>
  <c r="T2281" i="1"/>
  <c r="U2281" i="1"/>
  <c r="Z2281" i="1"/>
  <c r="AA2281" i="1"/>
  <c r="B2282" i="1"/>
  <c r="E2282" i="1"/>
  <c r="K2282" i="1"/>
  <c r="L2282" i="1"/>
  <c r="M2282" i="1"/>
  <c r="N2282" i="1"/>
  <c r="T2282" i="1"/>
  <c r="U2282" i="1"/>
  <c r="Z2282" i="1"/>
  <c r="AA2282" i="1"/>
  <c r="B2283" i="1"/>
  <c r="E2283" i="1"/>
  <c r="K2283" i="1"/>
  <c r="L2283" i="1"/>
  <c r="M2283" i="1"/>
  <c r="N2283" i="1"/>
  <c r="T2283" i="1"/>
  <c r="U2283" i="1"/>
  <c r="Z2283" i="1"/>
  <c r="AA2283" i="1"/>
  <c r="B2284" i="1"/>
  <c r="E2284" i="1"/>
  <c r="K2284" i="1"/>
  <c r="L2284" i="1"/>
  <c r="M2284" i="1"/>
  <c r="N2284" i="1"/>
  <c r="T2284" i="1"/>
  <c r="U2284" i="1"/>
  <c r="Z2284" i="1"/>
  <c r="AA2284" i="1"/>
  <c r="B2285" i="1"/>
  <c r="E2285" i="1"/>
  <c r="K2285" i="1"/>
  <c r="L2285" i="1"/>
  <c r="M2285" i="1"/>
  <c r="N2285" i="1"/>
  <c r="T2285" i="1"/>
  <c r="U2285" i="1"/>
  <c r="Z2285" i="1"/>
  <c r="AA2285" i="1"/>
  <c r="B2286" i="1"/>
  <c r="E2286" i="1"/>
  <c r="K2286" i="1"/>
  <c r="L2286" i="1"/>
  <c r="M2286" i="1"/>
  <c r="N2286" i="1"/>
  <c r="T2286" i="1"/>
  <c r="U2286" i="1"/>
  <c r="Z2286" i="1"/>
  <c r="AA2286" i="1"/>
  <c r="B2287" i="1"/>
  <c r="E2287" i="1"/>
  <c r="K2287" i="1"/>
  <c r="L2287" i="1"/>
  <c r="M2287" i="1"/>
  <c r="N2287" i="1"/>
  <c r="T2287" i="1"/>
  <c r="U2287" i="1"/>
  <c r="Z2287" i="1"/>
  <c r="AA2287" i="1"/>
  <c r="B2288" i="1"/>
  <c r="E2288" i="1"/>
  <c r="K2288" i="1"/>
  <c r="L2288" i="1"/>
  <c r="M2288" i="1"/>
  <c r="N2288" i="1"/>
  <c r="T2288" i="1"/>
  <c r="U2288" i="1"/>
  <c r="Z2288" i="1"/>
  <c r="AA2288" i="1"/>
  <c r="B2289" i="1"/>
  <c r="E2289" i="1"/>
  <c r="K2289" i="1"/>
  <c r="L2289" i="1"/>
  <c r="M2289" i="1"/>
  <c r="N2289" i="1"/>
  <c r="T2289" i="1"/>
  <c r="U2289" i="1"/>
  <c r="Z2289" i="1"/>
  <c r="AA2289" i="1"/>
  <c r="B2290" i="1"/>
  <c r="E2290" i="1"/>
  <c r="K2290" i="1"/>
  <c r="L2290" i="1"/>
  <c r="M2290" i="1"/>
  <c r="N2290" i="1"/>
  <c r="T2290" i="1"/>
  <c r="U2290" i="1"/>
  <c r="Z2290" i="1"/>
  <c r="AA2290" i="1"/>
  <c r="B2291" i="1"/>
  <c r="E2291" i="1"/>
  <c r="K2291" i="1"/>
  <c r="L2291" i="1"/>
  <c r="M2291" i="1"/>
  <c r="N2291" i="1"/>
  <c r="T2291" i="1"/>
  <c r="U2291" i="1"/>
  <c r="Z2291" i="1"/>
  <c r="AA2291" i="1"/>
  <c r="B2292" i="1"/>
  <c r="E2292" i="1"/>
  <c r="K2292" i="1"/>
  <c r="L2292" i="1"/>
  <c r="M2292" i="1"/>
  <c r="N2292" i="1"/>
  <c r="T2292" i="1"/>
  <c r="U2292" i="1"/>
  <c r="Z2292" i="1"/>
  <c r="AA2292" i="1"/>
  <c r="B2293" i="1"/>
  <c r="E2293" i="1"/>
  <c r="K2293" i="1"/>
  <c r="L2293" i="1"/>
  <c r="M2293" i="1"/>
  <c r="N2293" i="1"/>
  <c r="T2293" i="1"/>
  <c r="U2293" i="1"/>
  <c r="Z2293" i="1"/>
  <c r="AA2293" i="1"/>
  <c r="B2294" i="1"/>
  <c r="E2294" i="1"/>
  <c r="K2294" i="1"/>
  <c r="L2294" i="1"/>
  <c r="M2294" i="1"/>
  <c r="N2294" i="1"/>
  <c r="T2294" i="1"/>
  <c r="U2294" i="1"/>
  <c r="Z2294" i="1"/>
  <c r="AA2294" i="1"/>
  <c r="B2295" i="1"/>
  <c r="E2295" i="1"/>
  <c r="K2295" i="1"/>
  <c r="L2295" i="1"/>
  <c r="M2295" i="1"/>
  <c r="N2295" i="1"/>
  <c r="T2295" i="1"/>
  <c r="U2295" i="1"/>
  <c r="Z2295" i="1"/>
  <c r="AA2295" i="1"/>
  <c r="B2296" i="1"/>
  <c r="E2296" i="1"/>
  <c r="K2296" i="1"/>
  <c r="L2296" i="1"/>
  <c r="M2296" i="1"/>
  <c r="N2296" i="1"/>
  <c r="T2296" i="1"/>
  <c r="U2296" i="1"/>
  <c r="Z2296" i="1"/>
  <c r="AA2296" i="1"/>
  <c r="B2297" i="1"/>
  <c r="E2297" i="1"/>
  <c r="K2297" i="1"/>
  <c r="L2297" i="1"/>
  <c r="M2297" i="1"/>
  <c r="N2297" i="1"/>
  <c r="T2297" i="1"/>
  <c r="U2297" i="1"/>
  <c r="Z2297" i="1"/>
  <c r="AA2297" i="1"/>
  <c r="B2298" i="1"/>
  <c r="E2298" i="1"/>
  <c r="K2298" i="1"/>
  <c r="L2298" i="1"/>
  <c r="M2298" i="1"/>
  <c r="N2298" i="1"/>
  <c r="T2298" i="1"/>
  <c r="U2298" i="1"/>
  <c r="Z2298" i="1"/>
  <c r="AA2298" i="1"/>
  <c r="B2299" i="1"/>
  <c r="E2299" i="1"/>
  <c r="K2299" i="1"/>
  <c r="L2299" i="1"/>
  <c r="M2299" i="1"/>
  <c r="N2299" i="1"/>
  <c r="T2299" i="1"/>
  <c r="U2299" i="1"/>
  <c r="Z2299" i="1"/>
  <c r="AA2299" i="1"/>
  <c r="B2300" i="1"/>
  <c r="E2300" i="1"/>
  <c r="K2300" i="1"/>
  <c r="L2300" i="1"/>
  <c r="M2300" i="1"/>
  <c r="N2300" i="1"/>
  <c r="T2300" i="1"/>
  <c r="U2300" i="1"/>
  <c r="Z2300" i="1"/>
  <c r="AA2300" i="1"/>
  <c r="B2301" i="1"/>
  <c r="E2301" i="1"/>
  <c r="K2301" i="1"/>
  <c r="L2301" i="1"/>
  <c r="M2301" i="1"/>
  <c r="N2301" i="1"/>
  <c r="T2301" i="1"/>
  <c r="U2301" i="1"/>
  <c r="Z2301" i="1"/>
  <c r="AA2301" i="1"/>
  <c r="B2302" i="1"/>
  <c r="E2302" i="1"/>
  <c r="K2302" i="1"/>
  <c r="L2302" i="1"/>
  <c r="M2302" i="1"/>
  <c r="N2302" i="1"/>
  <c r="T2302" i="1"/>
  <c r="U2302" i="1"/>
  <c r="Z2302" i="1"/>
  <c r="AA2302" i="1"/>
  <c r="B2303" i="1"/>
  <c r="E2303" i="1"/>
  <c r="K2303" i="1"/>
  <c r="L2303" i="1"/>
  <c r="M2303" i="1"/>
  <c r="N2303" i="1"/>
  <c r="T2303" i="1"/>
  <c r="U2303" i="1"/>
  <c r="Z2303" i="1"/>
  <c r="AA2303" i="1"/>
  <c r="B2304" i="1"/>
  <c r="E2304" i="1"/>
  <c r="K2304" i="1"/>
  <c r="L2304" i="1"/>
  <c r="M2304" i="1"/>
  <c r="N2304" i="1"/>
  <c r="T2304" i="1"/>
  <c r="U2304" i="1"/>
  <c r="Z2304" i="1"/>
  <c r="AA2304" i="1"/>
  <c r="B2305" i="1"/>
  <c r="E2305" i="1"/>
  <c r="K2305" i="1"/>
  <c r="L2305" i="1"/>
  <c r="M2305" i="1"/>
  <c r="N2305" i="1"/>
  <c r="T2305" i="1"/>
  <c r="U2305" i="1"/>
  <c r="Z2305" i="1"/>
  <c r="AA2305" i="1"/>
  <c r="B2306" i="1"/>
  <c r="E2306" i="1"/>
  <c r="K2306" i="1"/>
  <c r="L2306" i="1"/>
  <c r="M2306" i="1"/>
  <c r="N2306" i="1"/>
  <c r="T2306" i="1"/>
  <c r="U2306" i="1"/>
  <c r="Z2306" i="1"/>
  <c r="AA2306" i="1"/>
  <c r="B2307" i="1"/>
  <c r="E2307" i="1"/>
  <c r="K2307" i="1"/>
  <c r="L2307" i="1"/>
  <c r="M2307" i="1"/>
  <c r="N2307" i="1"/>
  <c r="T2307" i="1"/>
  <c r="U2307" i="1"/>
  <c r="Z2307" i="1"/>
  <c r="AA2307" i="1"/>
  <c r="B2308" i="1"/>
  <c r="E2308" i="1"/>
  <c r="K2308" i="1"/>
  <c r="L2308" i="1"/>
  <c r="M2308" i="1"/>
  <c r="N2308" i="1"/>
  <c r="T2308" i="1"/>
  <c r="U2308" i="1"/>
  <c r="Z2308" i="1"/>
  <c r="AA2308" i="1"/>
  <c r="B2309" i="1"/>
  <c r="E2309" i="1"/>
  <c r="K2309" i="1"/>
  <c r="L2309" i="1"/>
  <c r="M2309" i="1"/>
  <c r="N2309" i="1"/>
  <c r="T2309" i="1"/>
  <c r="U2309" i="1"/>
  <c r="Z2309" i="1"/>
  <c r="AA2309" i="1"/>
  <c r="B2310" i="1"/>
  <c r="E2310" i="1"/>
  <c r="K2310" i="1"/>
  <c r="L2310" i="1"/>
  <c r="M2310" i="1"/>
  <c r="N2310" i="1"/>
  <c r="T2310" i="1"/>
  <c r="U2310" i="1"/>
  <c r="Z2310" i="1"/>
  <c r="AA2310" i="1"/>
  <c r="B2311" i="1"/>
  <c r="E2311" i="1"/>
  <c r="K2311" i="1"/>
  <c r="L2311" i="1"/>
  <c r="M2311" i="1"/>
  <c r="N2311" i="1"/>
  <c r="T2311" i="1"/>
  <c r="U2311" i="1"/>
  <c r="Z2311" i="1"/>
  <c r="AA2311" i="1"/>
  <c r="B2312" i="1"/>
  <c r="E2312" i="1"/>
  <c r="K2312" i="1"/>
  <c r="L2312" i="1"/>
  <c r="M2312" i="1"/>
  <c r="N2312" i="1"/>
  <c r="T2312" i="1"/>
  <c r="U2312" i="1"/>
  <c r="Z2312" i="1"/>
  <c r="AA2312" i="1"/>
  <c r="B2313" i="1"/>
  <c r="E2313" i="1"/>
  <c r="K2313" i="1"/>
  <c r="L2313" i="1"/>
  <c r="M2313" i="1"/>
  <c r="N2313" i="1"/>
  <c r="T2313" i="1"/>
  <c r="U2313" i="1"/>
  <c r="Z2313" i="1"/>
  <c r="AA2313" i="1"/>
  <c r="B2314" i="1"/>
  <c r="E2314" i="1"/>
  <c r="K2314" i="1"/>
  <c r="L2314" i="1"/>
  <c r="M2314" i="1"/>
  <c r="N2314" i="1"/>
  <c r="T2314" i="1"/>
  <c r="U2314" i="1"/>
  <c r="Z2314" i="1"/>
  <c r="AA2314" i="1"/>
  <c r="B2315" i="1"/>
  <c r="E2315" i="1"/>
  <c r="K2315" i="1"/>
  <c r="L2315" i="1"/>
  <c r="M2315" i="1"/>
  <c r="N2315" i="1"/>
  <c r="T2315" i="1"/>
  <c r="U2315" i="1"/>
  <c r="Z2315" i="1"/>
  <c r="AA2315" i="1"/>
  <c r="B2316" i="1"/>
  <c r="E2316" i="1"/>
  <c r="K2316" i="1"/>
  <c r="L2316" i="1"/>
  <c r="M2316" i="1"/>
  <c r="N2316" i="1"/>
  <c r="T2316" i="1"/>
  <c r="U2316" i="1"/>
  <c r="Z2316" i="1"/>
  <c r="AA2316" i="1"/>
  <c r="B2317" i="1"/>
  <c r="E2317" i="1"/>
  <c r="K2317" i="1"/>
  <c r="L2317" i="1"/>
  <c r="M2317" i="1"/>
  <c r="N2317" i="1"/>
  <c r="T2317" i="1"/>
  <c r="U2317" i="1"/>
  <c r="Z2317" i="1"/>
  <c r="AA2317" i="1"/>
  <c r="B2318" i="1"/>
  <c r="E2318" i="1"/>
  <c r="K2318" i="1"/>
  <c r="L2318" i="1"/>
  <c r="M2318" i="1"/>
  <c r="N2318" i="1"/>
  <c r="T2318" i="1"/>
  <c r="U2318" i="1"/>
  <c r="Z2318" i="1"/>
  <c r="AA2318" i="1"/>
  <c r="B2319" i="1"/>
  <c r="E2319" i="1"/>
  <c r="K2319" i="1"/>
  <c r="L2319" i="1"/>
  <c r="M2319" i="1"/>
  <c r="N2319" i="1"/>
  <c r="T2319" i="1"/>
  <c r="U2319" i="1"/>
  <c r="Z2319" i="1"/>
  <c r="AA2319" i="1"/>
  <c r="B2320" i="1"/>
  <c r="E2320" i="1"/>
  <c r="K2320" i="1"/>
  <c r="L2320" i="1"/>
  <c r="M2320" i="1"/>
  <c r="N2320" i="1"/>
  <c r="T2320" i="1"/>
  <c r="U2320" i="1"/>
  <c r="Z2320" i="1"/>
  <c r="AA2320" i="1"/>
  <c r="B2321" i="1"/>
  <c r="E2321" i="1"/>
  <c r="K2321" i="1"/>
  <c r="L2321" i="1"/>
  <c r="M2321" i="1"/>
  <c r="N2321" i="1"/>
  <c r="T2321" i="1"/>
  <c r="U2321" i="1"/>
  <c r="Z2321" i="1"/>
  <c r="AA2321" i="1"/>
  <c r="B2322" i="1"/>
  <c r="E2322" i="1"/>
  <c r="K2322" i="1"/>
  <c r="L2322" i="1"/>
  <c r="M2322" i="1"/>
  <c r="N2322" i="1"/>
  <c r="T2322" i="1"/>
  <c r="U2322" i="1"/>
  <c r="Z2322" i="1"/>
  <c r="AA2322" i="1"/>
  <c r="B2323" i="1"/>
  <c r="E2323" i="1"/>
  <c r="K2323" i="1"/>
  <c r="L2323" i="1"/>
  <c r="M2323" i="1"/>
  <c r="N2323" i="1"/>
  <c r="T2323" i="1"/>
  <c r="U2323" i="1"/>
  <c r="Z2323" i="1"/>
  <c r="AA2323" i="1"/>
  <c r="B2324" i="1"/>
  <c r="E2324" i="1"/>
  <c r="K2324" i="1"/>
  <c r="L2324" i="1"/>
  <c r="M2324" i="1"/>
  <c r="N2324" i="1"/>
  <c r="T2324" i="1"/>
  <c r="U2324" i="1"/>
  <c r="Z2324" i="1"/>
  <c r="AA2324" i="1"/>
  <c r="B2325" i="1"/>
  <c r="E2325" i="1"/>
  <c r="K2325" i="1"/>
  <c r="L2325" i="1"/>
  <c r="M2325" i="1"/>
  <c r="N2325" i="1"/>
  <c r="T2325" i="1"/>
  <c r="U2325" i="1"/>
  <c r="Z2325" i="1"/>
  <c r="AA2325" i="1"/>
</calcChain>
</file>

<file path=xl/sharedStrings.xml><?xml version="1.0" encoding="utf-8"?>
<sst xmlns="http://schemas.openxmlformats.org/spreadsheetml/2006/main" count="32397" uniqueCount="8068">
  <si>
    <t>Sponsor Entity ID</t>
  </si>
  <si>
    <t>Sponsor CTDS</t>
  </si>
  <si>
    <t>Sponsor Name</t>
  </si>
  <si>
    <t>SiteEntityID</t>
  </si>
  <si>
    <t>Site CTDS</t>
  </si>
  <si>
    <t>Site Name</t>
  </si>
  <si>
    <t>Contact Type</t>
  </si>
  <si>
    <t>Contact First Name</t>
  </si>
  <si>
    <t>Contact Last Name</t>
  </si>
  <si>
    <t>Contact Title</t>
  </si>
  <si>
    <t>Contact Phone</t>
  </si>
  <si>
    <t>PhoneExt</t>
  </si>
  <si>
    <t>Contact Fax</t>
  </si>
  <si>
    <t>FaxExt</t>
  </si>
  <si>
    <t>Contact Email</t>
  </si>
  <si>
    <t>Mailing Address1</t>
  </si>
  <si>
    <t>Mailing Address 2</t>
  </si>
  <si>
    <t>Mailing Address City</t>
  </si>
  <si>
    <t>Mailing Address State</t>
  </si>
  <si>
    <t>Mailing Address Zip</t>
  </si>
  <si>
    <t>Mailing Address Zip Plus Four</t>
  </si>
  <si>
    <t>Physical Address1</t>
  </si>
  <si>
    <t>Physical Address 2</t>
  </si>
  <si>
    <t>Physical Address City</t>
  </si>
  <si>
    <t>Physical Address State</t>
  </si>
  <si>
    <t>Physical Address Zip</t>
  </si>
  <si>
    <t>Physical Address Zip Plus Four</t>
  </si>
  <si>
    <t>Specialist</t>
  </si>
  <si>
    <t>St Johns Unified District</t>
  </si>
  <si>
    <t>NSLP Sponsor School Food Authority Contact</t>
  </si>
  <si>
    <t>Kay</t>
  </si>
  <si>
    <t>Hauser</t>
  </si>
  <si>
    <t>Food Service Director</t>
  </si>
  <si>
    <t>khauser@sjusd.net</t>
  </si>
  <si>
    <t>P O Box 3030</t>
  </si>
  <si>
    <t>St Johns</t>
  </si>
  <si>
    <t>AZ</t>
  </si>
  <si>
    <t>555 W. 7th S</t>
  </si>
  <si>
    <t>450 S 13th W</t>
  </si>
  <si>
    <t>St. Johns</t>
  </si>
  <si>
    <t>Walter Jacobson</t>
  </si>
  <si>
    <t>Coronado Elementary School</t>
  </si>
  <si>
    <t>NSLP Site Contact</t>
  </si>
  <si>
    <t>50 N Water Street</t>
  </si>
  <si>
    <t>St Johns Middle School</t>
  </si>
  <si>
    <t>555 W 7 S</t>
  </si>
  <si>
    <t>St Johns High School</t>
  </si>
  <si>
    <t>360 Redskin Drive</t>
  </si>
  <si>
    <t>Window Rock Unified District</t>
  </si>
  <si>
    <t>Anna Marie</t>
  </si>
  <si>
    <t>Perry</t>
  </si>
  <si>
    <t>Interim Business Manager</t>
  </si>
  <si>
    <t>amperry@wrschool.net</t>
  </si>
  <si>
    <t>P.O. Box 559</t>
  </si>
  <si>
    <t>Fort Defiance</t>
  </si>
  <si>
    <t>Route 12</t>
  </si>
  <si>
    <t>Kristin Merritt</t>
  </si>
  <si>
    <t>Tsehootsooi Intermediate Learning Center</t>
  </si>
  <si>
    <t>Bryan</t>
  </si>
  <si>
    <t>Dodson</t>
  </si>
  <si>
    <t>Cafeteria Site Manager</t>
  </si>
  <si>
    <t>brittanys@wrschool.net</t>
  </si>
  <si>
    <t>PO Box 559</t>
  </si>
  <si>
    <t>Navajo Route 12</t>
  </si>
  <si>
    <t>Tsehootsooi Primary Learning Center</t>
  </si>
  <si>
    <t>Quenby</t>
  </si>
  <si>
    <t>Scott</t>
  </si>
  <si>
    <t>Tsehootsooi Middle School</t>
  </si>
  <si>
    <t>Window Rock High School</t>
  </si>
  <si>
    <t>Kylena</t>
  </si>
  <si>
    <t>Gray</t>
  </si>
  <si>
    <t>North Route #12</t>
  </si>
  <si>
    <t>Tsehootsooi Dine Bi'Olta</t>
  </si>
  <si>
    <t>Opal</t>
  </si>
  <si>
    <t>Shirley</t>
  </si>
  <si>
    <t>Chee Doge Drive</t>
  </si>
  <si>
    <t>Window Rock</t>
  </si>
  <si>
    <t>Round Valley Unified District</t>
  </si>
  <si>
    <t>Cass</t>
  </si>
  <si>
    <t>Pond</t>
  </si>
  <si>
    <t>Business Director</t>
  </si>
  <si>
    <t>cpond@elks.net</t>
  </si>
  <si>
    <t>P.O. BOX 610</t>
  </si>
  <si>
    <t>SPRINGERVILLE</t>
  </si>
  <si>
    <t>940-B East Maricopa</t>
  </si>
  <si>
    <t>Springerville</t>
  </si>
  <si>
    <t>Jessica Krug</t>
  </si>
  <si>
    <t>Round Valley Elementary School</t>
  </si>
  <si>
    <t>JOSEPH</t>
  </si>
  <si>
    <t>STOIBER</t>
  </si>
  <si>
    <t>jstoiber@elks.net</t>
  </si>
  <si>
    <t>P.O. Box 610</t>
  </si>
  <si>
    <t>165 S. Brown</t>
  </si>
  <si>
    <t>Eagar</t>
  </si>
  <si>
    <t>Round Valley Middle School</t>
  </si>
  <si>
    <t>P.O Box 610</t>
  </si>
  <si>
    <t>126 W. 2nd.</t>
  </si>
  <si>
    <t>Round Valley High School</t>
  </si>
  <si>
    <t>Springervillle</t>
  </si>
  <si>
    <t>N. Butler</t>
  </si>
  <si>
    <t>Sanders Unified District</t>
  </si>
  <si>
    <t>Gabe</t>
  </si>
  <si>
    <t>Garner</t>
  </si>
  <si>
    <t>Foodservice Coordinator</t>
  </si>
  <si>
    <t>gabriel.garner@sandersusd.net</t>
  </si>
  <si>
    <t>PO Box 250</t>
  </si>
  <si>
    <t>Sanders</t>
  </si>
  <si>
    <t>I-40 Highway 191 South</t>
  </si>
  <si>
    <t>Sanders Elementary School</t>
  </si>
  <si>
    <t>Debra</t>
  </si>
  <si>
    <t>Garcia</t>
  </si>
  <si>
    <t>General Manager of Foodservice</t>
  </si>
  <si>
    <t>debragarcia@sandersusd.net</t>
  </si>
  <si>
    <t>Sanders Middle School</t>
  </si>
  <si>
    <t>Valley High School</t>
  </si>
  <si>
    <t>Ganado Unified School District</t>
  </si>
  <si>
    <t>Alicia</t>
  </si>
  <si>
    <t>Ben</t>
  </si>
  <si>
    <t>Food Service Supervisor</t>
  </si>
  <si>
    <t>alicia.ben@ganado.k12.az.us</t>
  </si>
  <si>
    <t>P.O. Box 1757</t>
  </si>
  <si>
    <t>Ganado Unified School District #20</t>
  </si>
  <si>
    <t>Ganado</t>
  </si>
  <si>
    <t>Hwy 264, Ganado</t>
  </si>
  <si>
    <t>Jessica Gibbs</t>
  </si>
  <si>
    <t>Ganado Primary School</t>
  </si>
  <si>
    <t>Hwy 264, Ganado Schools</t>
  </si>
  <si>
    <t>Ganado Intermediate School</t>
  </si>
  <si>
    <t>HWY 264</t>
  </si>
  <si>
    <t>Ganado Middle School</t>
  </si>
  <si>
    <t>Ganado High School</t>
  </si>
  <si>
    <t>Chinle Unified District</t>
  </si>
  <si>
    <t>Priscine</t>
  </si>
  <si>
    <t>Jones</t>
  </si>
  <si>
    <t>Business Manager</t>
  </si>
  <si>
    <t>prjones@chinleusd.k12.az.us</t>
  </si>
  <si>
    <t>P.O. Box 587</t>
  </si>
  <si>
    <t>Chinle</t>
  </si>
  <si>
    <t>19 Route 7 NR 27</t>
  </si>
  <si>
    <t>Chinle Junior High School</t>
  </si>
  <si>
    <t>Chinle Elementary School</t>
  </si>
  <si>
    <t>Canyon De Chelly Elementary School</t>
  </si>
  <si>
    <t>Many Farms Elementary School</t>
  </si>
  <si>
    <t>US Hwy 191, mile marker 464</t>
  </si>
  <si>
    <t>Tsaile Elementary School</t>
  </si>
  <si>
    <t>NR 64 and NR 12</t>
  </si>
  <si>
    <t>Mesa View Elementary</t>
  </si>
  <si>
    <t>Chinle High School</t>
  </si>
  <si>
    <t>Red Mesa Unified District</t>
  </si>
  <si>
    <t>Richelle</t>
  </si>
  <si>
    <t>Yazzie</t>
  </si>
  <si>
    <t>Food Service Supervisior</t>
  </si>
  <si>
    <t>kbedonie@rmusd.net</t>
  </si>
  <si>
    <t>HC 61 Box # 40</t>
  </si>
  <si>
    <t>Hwy 160 Mile Post 448</t>
  </si>
  <si>
    <t>Teec Nos Pos</t>
  </si>
  <si>
    <t>Bekah McLeod</t>
  </si>
  <si>
    <t>Red Mesa Elementary School</t>
  </si>
  <si>
    <t>Lorraine</t>
  </si>
  <si>
    <t>Begay</t>
  </si>
  <si>
    <t>Food Service Worker</t>
  </si>
  <si>
    <t>lrbegay@redmesa.k12.local</t>
  </si>
  <si>
    <t>HC 61 Box #40</t>
  </si>
  <si>
    <t>Hwy 160, MP #448</t>
  </si>
  <si>
    <t>Hwy 160, Milepost #448</t>
  </si>
  <si>
    <t>Round Rock Elementary School</t>
  </si>
  <si>
    <t>Sharon</t>
  </si>
  <si>
    <t>Horse</t>
  </si>
  <si>
    <t>shorse@rmusd.net</t>
  </si>
  <si>
    <t>HC 61 Box 40</t>
  </si>
  <si>
    <t>HWY 191, RT. # 12</t>
  </si>
  <si>
    <t>Round Rock</t>
  </si>
  <si>
    <t>Red Mesa Junior High School</t>
  </si>
  <si>
    <t>HWY 160 MP #448</t>
  </si>
  <si>
    <t>Teec Nos POs</t>
  </si>
  <si>
    <t>HWY 160, Milepost #448</t>
  </si>
  <si>
    <t>Red Mesa High School</t>
  </si>
  <si>
    <t>HWY 160, MP #448</t>
  </si>
  <si>
    <t>Red Valley/Cove High School</t>
  </si>
  <si>
    <t>Sammy</t>
  </si>
  <si>
    <t>James</t>
  </si>
  <si>
    <t>Food Service Worker/Clerk</t>
  </si>
  <si>
    <t>MP Marker #22 N-13</t>
  </si>
  <si>
    <t>Red Valley</t>
  </si>
  <si>
    <t>Concho Elementary District</t>
  </si>
  <si>
    <t>Billie</t>
  </si>
  <si>
    <t>Bell</t>
  </si>
  <si>
    <t>bbell@concho.k12.az.us</t>
  </si>
  <si>
    <t>P O Box 200</t>
  </si>
  <si>
    <t>Concho</t>
  </si>
  <si>
    <t>Hwy 61 and Cinder Rd</t>
  </si>
  <si>
    <t>6 County Road 5101</t>
  </si>
  <si>
    <t>Concho Elementary School</t>
  </si>
  <si>
    <t>Karin</t>
  </si>
  <si>
    <t>Hanson</t>
  </si>
  <si>
    <t>Food Service Manager</t>
  </si>
  <si>
    <t>khanson@concho.k12.az.us</t>
  </si>
  <si>
    <t>PO Box 200</t>
  </si>
  <si>
    <t>6 County Rd 5101</t>
  </si>
  <si>
    <t>Vernon Elementary District</t>
  </si>
  <si>
    <t>Karol</t>
  </si>
  <si>
    <t>Coffman</t>
  </si>
  <si>
    <t>Director</t>
  </si>
  <si>
    <t>kcoffman@vernon.k12.az.us</t>
  </si>
  <si>
    <t>P O Box 89</t>
  </si>
  <si>
    <t>Vernon</t>
  </si>
  <si>
    <t>90 CRN 3139</t>
  </si>
  <si>
    <t>Vernon Elementary School</t>
  </si>
  <si>
    <t>Student Services</t>
  </si>
  <si>
    <t>Mcnary Elementary District</t>
  </si>
  <si>
    <t>Cheryl</t>
  </si>
  <si>
    <t>Coates</t>
  </si>
  <si>
    <t>Purchasing/Admin Assistant</t>
  </si>
  <si>
    <t>ccoates@apachecounty.net</t>
  </si>
  <si>
    <t>P.O. Box 598</t>
  </si>
  <si>
    <t>McNary</t>
  </si>
  <si>
    <t>108 N. Pollock</t>
  </si>
  <si>
    <t>Kariann Gallegos</t>
  </si>
  <si>
    <t>Mcnary Elementary School</t>
  </si>
  <si>
    <t>Fort Huachuca Accommodation District</t>
  </si>
  <si>
    <t>Karen</t>
  </si>
  <si>
    <t>Nieto</t>
  </si>
  <si>
    <t>Director Business and Operations</t>
  </si>
  <si>
    <t>nietok@fhasd.org</t>
  </si>
  <si>
    <t>P.O. Box 12954</t>
  </si>
  <si>
    <t>Ft. Huachuca</t>
  </si>
  <si>
    <t>21110 Hines Rd</t>
  </si>
  <si>
    <t>Ft. Hucahuca</t>
  </si>
  <si>
    <t>Colonel Johnston Elementary School</t>
  </si>
  <si>
    <t>Rhonda</t>
  </si>
  <si>
    <t>Foster</t>
  </si>
  <si>
    <t>Manager Food Service Program</t>
  </si>
  <si>
    <t>fosterr@fhasd.org</t>
  </si>
  <si>
    <t>PO Box 12954</t>
  </si>
  <si>
    <t>47121 H Street</t>
  </si>
  <si>
    <t>Ft Huachuca</t>
  </si>
  <si>
    <t>Colonel Smith Middle School</t>
  </si>
  <si>
    <t>5651 E Smith Ave</t>
  </si>
  <si>
    <t>General Myer Elementary School</t>
  </si>
  <si>
    <t>45103 Burns Street</t>
  </si>
  <si>
    <t>Tombstone Unified District</t>
  </si>
  <si>
    <t>Robey</t>
  </si>
  <si>
    <t>Child Nutrition Specialist</t>
  </si>
  <si>
    <t>crobey@tombstone.k12.az.us</t>
  </si>
  <si>
    <t>Tombstone Unified School District #1</t>
  </si>
  <si>
    <t>P.O. Box 1000</t>
  </si>
  <si>
    <t>Tombstone</t>
  </si>
  <si>
    <t>Tombstone Unified School District</t>
  </si>
  <si>
    <t>411 N 9th St.</t>
  </si>
  <si>
    <t>Brandon Estrada</t>
  </si>
  <si>
    <t>Huachuca City School</t>
  </si>
  <si>
    <t>100 School Dr.</t>
  </si>
  <si>
    <t>Huachuca City</t>
  </si>
  <si>
    <t>Walter J Meyer School</t>
  </si>
  <si>
    <t>Tombstone Unified Schools</t>
  </si>
  <si>
    <t>Walter J. Meyer Elementary</t>
  </si>
  <si>
    <t>411 N. 9th. St.</t>
  </si>
  <si>
    <t>Tombstone High School</t>
  </si>
  <si>
    <t>1211 Yellowjacket Way</t>
  </si>
  <si>
    <t>Bisbee Unified District</t>
  </si>
  <si>
    <t>Susan</t>
  </si>
  <si>
    <t>Leiendecker</t>
  </si>
  <si>
    <t>sleiendecker@busd.k12.az.us</t>
  </si>
  <si>
    <t>519 West Melody Lane</t>
  </si>
  <si>
    <t>Bisbee</t>
  </si>
  <si>
    <t>Peggy Turner</t>
  </si>
  <si>
    <t>Greenway Primary School</t>
  </si>
  <si>
    <t>98 Cole Ave</t>
  </si>
  <si>
    <t>Lowell School</t>
  </si>
  <si>
    <t>SUSAN</t>
  </si>
  <si>
    <t>LEIENDECKER</t>
  </si>
  <si>
    <t>100 Old Douglas Road</t>
  </si>
  <si>
    <t>Bisbee High School</t>
  </si>
  <si>
    <t>675 School Terrace Road</t>
  </si>
  <si>
    <t>Willcox Unified District</t>
  </si>
  <si>
    <t>Penny</t>
  </si>
  <si>
    <t>Long</t>
  </si>
  <si>
    <t>Business Support Specialist</t>
  </si>
  <si>
    <t>penny.long@wusd13.org</t>
  </si>
  <si>
    <t>Willcox Unified School District</t>
  </si>
  <si>
    <t>480 N. Bisbee Ave.</t>
  </si>
  <si>
    <t>Willcox</t>
  </si>
  <si>
    <t>Halie Knutson</t>
  </si>
  <si>
    <t>Willcox Elementary School</t>
  </si>
  <si>
    <t>penny.long@wusd13.0rg</t>
  </si>
  <si>
    <t>501 W. Delos</t>
  </si>
  <si>
    <t>Willcox Middle School</t>
  </si>
  <si>
    <t>360 N. Bisbee Ave</t>
  </si>
  <si>
    <t>Willcox High School</t>
  </si>
  <si>
    <t>penny.long@yahoo.com</t>
  </si>
  <si>
    <t>Willcox Unified School</t>
  </si>
  <si>
    <t>240 N. Bisbee Ave.</t>
  </si>
  <si>
    <t>Bowie Unified District</t>
  </si>
  <si>
    <t>Dawn</t>
  </si>
  <si>
    <t>Adame</t>
  </si>
  <si>
    <t>Secretary</t>
  </si>
  <si>
    <t>dawn.adame@bowieusd.k12.az.us</t>
  </si>
  <si>
    <t>P O Box 157</t>
  </si>
  <si>
    <t>Bowie</t>
  </si>
  <si>
    <t>315 W. 5th Street</t>
  </si>
  <si>
    <t>Bowie Elementary School</t>
  </si>
  <si>
    <t>NSLP Coordinator</t>
  </si>
  <si>
    <t>315  West 5th Street</t>
  </si>
  <si>
    <t>Bowie High School</t>
  </si>
  <si>
    <t>San Simon Unified District</t>
  </si>
  <si>
    <t>Donna</t>
  </si>
  <si>
    <t>Lewis</t>
  </si>
  <si>
    <t>Administrative Assistant</t>
  </si>
  <si>
    <t>dlewis@sansimon.org</t>
  </si>
  <si>
    <t>PO BOX 38</t>
  </si>
  <si>
    <t>SAN SIMON</t>
  </si>
  <si>
    <t>2226 W Business I 10</t>
  </si>
  <si>
    <t>San Simon School</t>
  </si>
  <si>
    <t>Bridget</t>
  </si>
  <si>
    <t>Dozier</t>
  </si>
  <si>
    <t>Cafeteria Manager</t>
  </si>
  <si>
    <t>bdozier@sansimion.org</t>
  </si>
  <si>
    <t>P.O. Box 38</t>
  </si>
  <si>
    <t>2226 W I 10 Business</t>
  </si>
  <si>
    <t>St David Unified District</t>
  </si>
  <si>
    <t>Jennifer</t>
  </si>
  <si>
    <t>Lopshire</t>
  </si>
  <si>
    <t>Food Srrvice Director</t>
  </si>
  <si>
    <t>jlopshire@stdavid.org</t>
  </si>
  <si>
    <t>P.O. Box 70</t>
  </si>
  <si>
    <t>St. David</t>
  </si>
  <si>
    <t>70 Patton Hwy</t>
  </si>
  <si>
    <t>St David Elementary School</t>
  </si>
  <si>
    <t>St David High School</t>
  </si>
  <si>
    <t>St. David 85630</t>
  </si>
  <si>
    <t>Douglas Unified District</t>
  </si>
  <si>
    <t>Beverly</t>
  </si>
  <si>
    <t>Jackson</t>
  </si>
  <si>
    <t>Child Nutrition Director</t>
  </si>
  <si>
    <t>bjackson@douglasschools.org</t>
  </si>
  <si>
    <t>1132 E. 12th St.</t>
  </si>
  <si>
    <t>Douglas</t>
  </si>
  <si>
    <t>Clawson School</t>
  </si>
  <si>
    <t>bjackson@dusd.k12.az.us</t>
  </si>
  <si>
    <t>1235 7th street</t>
  </si>
  <si>
    <t>Joe Carlson Elementary School</t>
  </si>
  <si>
    <t>1700  Louis Avenue</t>
  </si>
  <si>
    <t>1700 Louis Avenue</t>
  </si>
  <si>
    <t>Faras Elementary School</t>
  </si>
  <si>
    <t>1132  E. 12th Street</t>
  </si>
  <si>
    <t>410 W. Fir Avenue</t>
  </si>
  <si>
    <t>Pirtleville</t>
  </si>
  <si>
    <t>Sarah Marley School</t>
  </si>
  <si>
    <t>735 E. 7th Street</t>
  </si>
  <si>
    <t>Stevenson Elementary School</t>
  </si>
  <si>
    <t>2200 11th St</t>
  </si>
  <si>
    <t>Ray Borane Middle School</t>
  </si>
  <si>
    <t>1132 E. 12th Street</t>
  </si>
  <si>
    <t>840 12th  Street</t>
  </si>
  <si>
    <t>Paul H Huber Jr High School</t>
  </si>
  <si>
    <t>1650 N. Washington Ave.</t>
  </si>
  <si>
    <t>Douglas High School</t>
  </si>
  <si>
    <t>Bjackson@dusd.k12.az.us</t>
  </si>
  <si>
    <t>1500 E. 15th St.</t>
  </si>
  <si>
    <t>Sierra Vista Unified District</t>
  </si>
  <si>
    <t>Christine</t>
  </si>
  <si>
    <t>Stone</t>
  </si>
  <si>
    <t>Director of Financial Services</t>
  </si>
  <si>
    <t>Christine.stone@svps.k12.az.us</t>
  </si>
  <si>
    <t>3555 East Fry Boulevard</t>
  </si>
  <si>
    <t>Sierra Vista</t>
  </si>
  <si>
    <t>Bella Vista Elementary School</t>
  </si>
  <si>
    <t>Pam</t>
  </si>
  <si>
    <t>Chapman</t>
  </si>
  <si>
    <t>Site Cafeteria Manager</t>
  </si>
  <si>
    <t>pam.chapman@svps.k12.az.us</t>
  </si>
  <si>
    <t>801 North Lenzner Aveue</t>
  </si>
  <si>
    <t>Carmichael Elementary School</t>
  </si>
  <si>
    <t>Carla</t>
  </si>
  <si>
    <t>Warner</t>
  </si>
  <si>
    <t>carla.warner@svps.k12.az.us</t>
  </si>
  <si>
    <t>701 N.E. Carmichael Avenue</t>
  </si>
  <si>
    <t>Huachuca Mountain Elementary School</t>
  </si>
  <si>
    <t>Marisa</t>
  </si>
  <si>
    <t>Gonzalez</t>
  </si>
  <si>
    <t>marisa.gonzalez@svps.k12.az.us</t>
  </si>
  <si>
    <t>3228 St. Andrew Drive</t>
  </si>
  <si>
    <t>Pueblo Del Sol Elementary School</t>
  </si>
  <si>
    <t>Valerie</t>
  </si>
  <si>
    <t>Daniels</t>
  </si>
  <si>
    <t>valarie.daniels@svps.k12.az.us</t>
  </si>
  <si>
    <t>5130 Paseo Las Palmas</t>
  </si>
  <si>
    <t>Town &amp; Country Elementary School</t>
  </si>
  <si>
    <t>Anna</t>
  </si>
  <si>
    <t>Showalter</t>
  </si>
  <si>
    <t>anna.showalter@svps.k12.az.us</t>
  </si>
  <si>
    <t>1313 S. Lenzner Avenue</t>
  </si>
  <si>
    <t>Village Meadows Elementary School</t>
  </si>
  <si>
    <t>Cecilia</t>
  </si>
  <si>
    <t>Ruiz</t>
  </si>
  <si>
    <t>ceci.ruiz@svps.k12.az.us</t>
  </si>
  <si>
    <t>905 El Camino Real</t>
  </si>
  <si>
    <t>Joyce Clark Middle School</t>
  </si>
  <si>
    <t>Maria</t>
  </si>
  <si>
    <t>Valenzuela</t>
  </si>
  <si>
    <t>socorro.valenzuela@svps.k12.az</t>
  </si>
  <si>
    <t>1045 S. Lenzner Avenue</t>
  </si>
  <si>
    <t>Buena High School</t>
  </si>
  <si>
    <t>Yvonne</t>
  </si>
  <si>
    <t>Castaneda</t>
  </si>
  <si>
    <t>Site Manager</t>
  </si>
  <si>
    <t>yvonne.castaneda@svps.k12.az.us</t>
  </si>
  <si>
    <t>5225 E. Buena School Blvd.</t>
  </si>
  <si>
    <t>Naco Elementary District</t>
  </si>
  <si>
    <t>Celia</t>
  </si>
  <si>
    <t>cvalenzuela@naco.k12.az.us</t>
  </si>
  <si>
    <t>P.O. Box 397</t>
  </si>
  <si>
    <t>Naco</t>
  </si>
  <si>
    <t>1911 W. Valenzuela</t>
  </si>
  <si>
    <t>Naco Elementary School</t>
  </si>
  <si>
    <t>Cochise Elementary District</t>
  </si>
  <si>
    <t>David</t>
  </si>
  <si>
    <t>Brown</t>
  </si>
  <si>
    <t>dbrown@cochiseschool.org</t>
  </si>
  <si>
    <t>P.O. Box 1088</t>
  </si>
  <si>
    <t>Cochise</t>
  </si>
  <si>
    <t>5025 N. Bowie Ave.</t>
  </si>
  <si>
    <t>Cochise Elementary School</t>
  </si>
  <si>
    <t>Palominas Elementary District</t>
  </si>
  <si>
    <t>Shelley</t>
  </si>
  <si>
    <t>Woodman</t>
  </si>
  <si>
    <t>Food Sevrice Director</t>
  </si>
  <si>
    <t>woodmans@psd49.net</t>
  </si>
  <si>
    <t>Hereford</t>
  </si>
  <si>
    <t>6849 E Highway 92</t>
  </si>
  <si>
    <t>Palominas Elementary School</t>
  </si>
  <si>
    <t>Evangelina</t>
  </si>
  <si>
    <t>Food Serivice Employee</t>
  </si>
  <si>
    <t>garciae@psd49.net</t>
  </si>
  <si>
    <t>10385 East Highway 92</t>
  </si>
  <si>
    <t>Sarah</t>
  </si>
  <si>
    <t>Nunez</t>
  </si>
  <si>
    <t>Food Service Employee</t>
  </si>
  <si>
    <t>nunezs@psd49.net</t>
  </si>
  <si>
    <t>P.O.Box 38</t>
  </si>
  <si>
    <t>5148 Coronado School Drive</t>
  </si>
  <si>
    <t>Valley View Elementary School</t>
  </si>
  <si>
    <t>Elizabeth</t>
  </si>
  <si>
    <t>Allen</t>
  </si>
  <si>
    <t>allene@psd49.net</t>
  </si>
  <si>
    <t>6849 East Highway 92</t>
  </si>
  <si>
    <t>McNeal Elementary District</t>
  </si>
  <si>
    <t>Teresa</t>
  </si>
  <si>
    <t>Reyna</t>
  </si>
  <si>
    <t>Superintendent</t>
  </si>
  <si>
    <t>terry.reyna@mcneal.k12.az.us</t>
  </si>
  <si>
    <t>P.O. Box 8</t>
  </si>
  <si>
    <t>McNeal</t>
  </si>
  <si>
    <t>3979 McNeal Street</t>
  </si>
  <si>
    <t>Mcneal Elementary School</t>
  </si>
  <si>
    <t>Chandra</t>
  </si>
  <si>
    <t>Cagle</t>
  </si>
  <si>
    <t>mcnealelem@vtc.net</t>
  </si>
  <si>
    <t>Elfrida Elementary District</t>
  </si>
  <si>
    <t>Parkin</t>
  </si>
  <si>
    <t>cheryl.parkin@elfridaelem.org</t>
  </si>
  <si>
    <t>P.O. Box 328</t>
  </si>
  <si>
    <t>Elfrida</t>
  </si>
  <si>
    <t>4070 W. Jefferson Rd.</t>
  </si>
  <si>
    <t>Elfirda</t>
  </si>
  <si>
    <t>Temporary Assignment to Taryn Kunkel</t>
  </si>
  <si>
    <t>Elfrida Elementary School</t>
  </si>
  <si>
    <t>Alma</t>
  </si>
  <si>
    <t>admin. Assistant</t>
  </si>
  <si>
    <t>alma.garcia@elfridaelem.org</t>
  </si>
  <si>
    <t>P.O. Box328</t>
  </si>
  <si>
    <t>Pearce Elementary District</t>
  </si>
  <si>
    <t>Estella (Josie)</t>
  </si>
  <si>
    <t>Alvarez</t>
  </si>
  <si>
    <t>Admin/ NSLP Assistance</t>
  </si>
  <si>
    <t>jalvarez@pearceschool.org</t>
  </si>
  <si>
    <t>PO Box 979</t>
  </si>
  <si>
    <t>Pearce</t>
  </si>
  <si>
    <t>1487 East School Road</t>
  </si>
  <si>
    <t>Pearce Elementary School</t>
  </si>
  <si>
    <t>Creasman</t>
  </si>
  <si>
    <t>Head Cook</t>
  </si>
  <si>
    <t>screasman@pearceschool.org</t>
  </si>
  <si>
    <t>1487 E. School Road</t>
  </si>
  <si>
    <t>Ash Creek Elementary District</t>
  </si>
  <si>
    <t>Shepard</t>
  </si>
  <si>
    <t>Principal</t>
  </si>
  <si>
    <t>wranglerzzz@hotmail.com</t>
  </si>
  <si>
    <t>6460 East Highway 181</t>
  </si>
  <si>
    <t>Ash Creek Elementary</t>
  </si>
  <si>
    <t>Pomerene Elementary District</t>
  </si>
  <si>
    <t>Wendy</t>
  </si>
  <si>
    <t>Merrill</t>
  </si>
  <si>
    <t>Food Director</t>
  </si>
  <si>
    <t>wmerrill@pomereneschool.org</t>
  </si>
  <si>
    <t>PO Box 7</t>
  </si>
  <si>
    <t>Pomerene</t>
  </si>
  <si>
    <t>1396 N. Old Pomerene Rd.</t>
  </si>
  <si>
    <t>Benson</t>
  </si>
  <si>
    <t>Pomerene Elementary School</t>
  </si>
  <si>
    <t>P.O. Box 7</t>
  </si>
  <si>
    <t>1396 Old Pomerene Rd.</t>
  </si>
  <si>
    <t>Valley Union High School District</t>
  </si>
  <si>
    <t>Davida</t>
  </si>
  <si>
    <t>Noble</t>
  </si>
  <si>
    <t>davida.noble@vuhs.net</t>
  </si>
  <si>
    <t>PO Box 158</t>
  </si>
  <si>
    <t>4088 Jefferson Rd</t>
  </si>
  <si>
    <t>Kerrie Zigler</t>
  </si>
  <si>
    <t>Valley Union High School</t>
  </si>
  <si>
    <t>Center for Academic Success, Inc.</t>
  </si>
  <si>
    <t>Maritza</t>
  </si>
  <si>
    <t>Montano</t>
  </si>
  <si>
    <t>Food program Director</t>
  </si>
  <si>
    <t>maritza.montano@cpic-cas.org</t>
  </si>
  <si>
    <t>1415 F Ave</t>
  </si>
  <si>
    <t>Cori Hensley</t>
  </si>
  <si>
    <t>Center for Academic Success, The #1</t>
  </si>
  <si>
    <t>Guillermina</t>
  </si>
  <si>
    <t>Villicana</t>
  </si>
  <si>
    <t>Kitchen Manager</t>
  </si>
  <si>
    <t>gvillicana@cpic-cas.org</t>
  </si>
  <si>
    <t>900 Carmelita Rd.</t>
  </si>
  <si>
    <t>Center for Academic Success, The #2</t>
  </si>
  <si>
    <t>Carmen de la Vega</t>
  </si>
  <si>
    <t>De la vega</t>
  </si>
  <si>
    <t>Registar</t>
  </si>
  <si>
    <t>cvega@cpic-cas.org</t>
  </si>
  <si>
    <t>510 G Avenue</t>
  </si>
  <si>
    <t>Center for Academic Success, The #3</t>
  </si>
  <si>
    <t>Lourdes</t>
  </si>
  <si>
    <t>Munguia</t>
  </si>
  <si>
    <t>Lourdes.Munguia@cpic-cas.org</t>
  </si>
  <si>
    <t>1415 F Avenue</t>
  </si>
  <si>
    <t>919 3rd St</t>
  </si>
  <si>
    <t>Center for Academic Success #4</t>
  </si>
  <si>
    <t>Food Program Director</t>
  </si>
  <si>
    <t>Maritza.Montano@cpic-cas.org</t>
  </si>
  <si>
    <t>1415 F. Ave</t>
  </si>
  <si>
    <t>Center for Academic Success #5</t>
  </si>
  <si>
    <t>Food Program Manager</t>
  </si>
  <si>
    <t>Flagstaff Unified District</t>
  </si>
  <si>
    <t>Bob</t>
  </si>
  <si>
    <t>Kuhn</t>
  </si>
  <si>
    <t>Assistant Superintendant of Operations</t>
  </si>
  <si>
    <t>bkuhn@fusd1.org</t>
  </si>
  <si>
    <t>3285 E. Sparrow Ave</t>
  </si>
  <si>
    <t>Flagstaff</t>
  </si>
  <si>
    <t>Summit High School</t>
  </si>
  <si>
    <t>Leslie</t>
  </si>
  <si>
    <t>Nichols</t>
  </si>
  <si>
    <t>Food Service Administrative Assistant</t>
  </si>
  <si>
    <t>lnichols@fusd1.org</t>
  </si>
  <si>
    <t>4000 N Cummings St</t>
  </si>
  <si>
    <t>Manuel DeMiguel Elementary School</t>
  </si>
  <si>
    <t>3500 S Gillenwater Dr</t>
  </si>
  <si>
    <t>Sturgeon Cromer Elementary School</t>
  </si>
  <si>
    <t>7150 E Silver Saddle Rd</t>
  </si>
  <si>
    <t>Lura Kinsey Elementary School</t>
  </si>
  <si>
    <t>1601 S Lone Tree</t>
  </si>
  <si>
    <t>Eva Marshall Elementary School</t>
  </si>
  <si>
    <t>850 N Bonito</t>
  </si>
  <si>
    <t>W F Killip Elementary School</t>
  </si>
  <si>
    <t>2300 E 6th Ave</t>
  </si>
  <si>
    <t>Charles W Sechrist Elementary School</t>
  </si>
  <si>
    <t>2230 N Fort Valley Rd</t>
  </si>
  <si>
    <t>John Q Thomas Elementary School</t>
  </si>
  <si>
    <t>3330 E Lockett</t>
  </si>
  <si>
    <t>Leupp Public School</t>
  </si>
  <si>
    <t>3285 E Sparrow Ave</t>
  </si>
  <si>
    <t>Leupp Elementary School</t>
  </si>
  <si>
    <t>40 Miles East of Flagstaff</t>
  </si>
  <si>
    <t>Leupp</t>
  </si>
  <si>
    <t>Thomas M Knoles Elementary School</t>
  </si>
  <si>
    <t>4005 E Butler Ave.</t>
  </si>
  <si>
    <t>Mount Elden Middle School</t>
  </si>
  <si>
    <t>3223 N Fourth St</t>
  </si>
  <si>
    <t>Flagstaff High School</t>
  </si>
  <si>
    <t>400 W Elm</t>
  </si>
  <si>
    <t>Coconino High School</t>
  </si>
  <si>
    <t>2801 N Izabel</t>
  </si>
  <si>
    <t>Weitzel's Puente de Hozho Bilingual Magnet School</t>
  </si>
  <si>
    <t>3401 N 4th St</t>
  </si>
  <si>
    <t>Sinagua Middle School</t>
  </si>
  <si>
    <t>3950 E Butler Ave</t>
  </si>
  <si>
    <t>Williams Unified District</t>
  </si>
  <si>
    <t>Chris</t>
  </si>
  <si>
    <t>Food service Director</t>
  </si>
  <si>
    <t>csanders@wusd2.org</t>
  </si>
  <si>
    <t>P.O. Box 427</t>
  </si>
  <si>
    <t>Williams</t>
  </si>
  <si>
    <t>411 N. 6th street</t>
  </si>
  <si>
    <t>Temporary Assignment to Jessica Gibbs</t>
  </si>
  <si>
    <t>Williams Elementary/Middle School</t>
  </si>
  <si>
    <t>WEMS Food Service Director</t>
  </si>
  <si>
    <t>PO Box 427</t>
  </si>
  <si>
    <t>601 N 7th Street</t>
  </si>
  <si>
    <t>Williams High School</t>
  </si>
  <si>
    <t>WHS FOOD SVC DIR</t>
  </si>
  <si>
    <t>440 S. 7th St.</t>
  </si>
  <si>
    <t>Grand Canyon Unified District</t>
  </si>
  <si>
    <t>Barbara</t>
  </si>
  <si>
    <t>Shields</t>
  </si>
  <si>
    <t>bshields@grandcanyonschool.org</t>
  </si>
  <si>
    <t>PO Box 519</t>
  </si>
  <si>
    <t>Grand Canyon</t>
  </si>
  <si>
    <t>100 boulder St</t>
  </si>
  <si>
    <t>Grand Canyon Elementary</t>
  </si>
  <si>
    <t>Barb</t>
  </si>
  <si>
    <t>PO box 519</t>
  </si>
  <si>
    <t>100 boulder st</t>
  </si>
  <si>
    <t>Grand Canyon High School</t>
  </si>
  <si>
    <t>PO BOX 519</t>
  </si>
  <si>
    <t>100 Boulder Street</t>
  </si>
  <si>
    <t>Fredonia-Moccasin Unified District</t>
  </si>
  <si>
    <t>Tina</t>
  </si>
  <si>
    <t>Button</t>
  </si>
  <si>
    <t>tbutton@fredonia.org</t>
  </si>
  <si>
    <t>P.O. Box 247</t>
  </si>
  <si>
    <t>Fredonia</t>
  </si>
  <si>
    <t>222 N. 200 E.</t>
  </si>
  <si>
    <t>Fredonia Elementary School</t>
  </si>
  <si>
    <t>Fredonia High School</t>
  </si>
  <si>
    <t>221 E. Hortt</t>
  </si>
  <si>
    <t>Page Unified District</t>
  </si>
  <si>
    <t>Vindy</t>
  </si>
  <si>
    <t>Weerahandi</t>
  </si>
  <si>
    <t>vweerahandi@pageud.org</t>
  </si>
  <si>
    <t>P.O. Box 1927</t>
  </si>
  <si>
    <t>817 Aqua Street</t>
  </si>
  <si>
    <t>Page</t>
  </si>
  <si>
    <t>500 South Navajo</t>
  </si>
  <si>
    <t>Sandy Fitzner</t>
  </si>
  <si>
    <t>Desert View Elementary Intermediate</t>
  </si>
  <si>
    <t>Millie</t>
  </si>
  <si>
    <t>Calamity</t>
  </si>
  <si>
    <t>District Liaison</t>
  </si>
  <si>
    <t>mcalmity@pageud.org</t>
  </si>
  <si>
    <t>462 South Lake Powell Blvd.</t>
  </si>
  <si>
    <t>Lake View Elementary Primary</t>
  </si>
  <si>
    <t>mcalamity@pageud.org</t>
  </si>
  <si>
    <t>1801 North Navajo</t>
  </si>
  <si>
    <t>Page Middle School</t>
  </si>
  <si>
    <t>817 Aqua</t>
  </si>
  <si>
    <t>101 El Mirage</t>
  </si>
  <si>
    <t>Page High School</t>
  </si>
  <si>
    <t>434 Lake Powell Boulevard</t>
  </si>
  <si>
    <t>Tse'yaato' High School</t>
  </si>
  <si>
    <t>583 Lake Powell BLVD.</t>
  </si>
  <si>
    <t>Manson Mesa High School</t>
  </si>
  <si>
    <t>District Liason</t>
  </si>
  <si>
    <t>Po Box 1927</t>
  </si>
  <si>
    <t>Tuba City Unified School District #15</t>
  </si>
  <si>
    <t>Delores</t>
  </si>
  <si>
    <t>Roan</t>
  </si>
  <si>
    <t>Food and Nutrition Secretary</t>
  </si>
  <si>
    <t>droan@tcusd.org</t>
  </si>
  <si>
    <t>Tuba City Unified School District No. 15</t>
  </si>
  <si>
    <t>P.O. BOX 67</t>
  </si>
  <si>
    <t>Tuba City</t>
  </si>
  <si>
    <t>Corner of Fir and Main Street</t>
  </si>
  <si>
    <t>Tuba City Elementary School</t>
  </si>
  <si>
    <t>P.O. Box 67</t>
  </si>
  <si>
    <t>Corner of Fir and Main St to Left</t>
  </si>
  <si>
    <t>Dzil Libei Elementary School</t>
  </si>
  <si>
    <t>Hwy 89 Mile Post 462</t>
  </si>
  <si>
    <t>Cameron</t>
  </si>
  <si>
    <t>Tsinaabaas Habitiin Elementary School</t>
  </si>
  <si>
    <t>Hwy 89 mile post # 499</t>
  </si>
  <si>
    <t>Gap</t>
  </si>
  <si>
    <t>Tuba City Junior High School</t>
  </si>
  <si>
    <t>Tuba City High School</t>
  </si>
  <si>
    <t>Tuba City Unified School District No 15</t>
  </si>
  <si>
    <t>East Warrior Drive</t>
  </si>
  <si>
    <t>Nizhoni Accelerated Academy</t>
  </si>
  <si>
    <t>Food and Nutrition Secetary</t>
  </si>
  <si>
    <t>Tuba City Unified School District</t>
  </si>
  <si>
    <t>North main street</t>
  </si>
  <si>
    <t>Maine Consolidated School District</t>
  </si>
  <si>
    <t>phylis</t>
  </si>
  <si>
    <t>fielder</t>
  </si>
  <si>
    <t>food director</t>
  </si>
  <si>
    <t>pfieder@mcsd10.org</t>
  </si>
  <si>
    <t>PO Box 50010</t>
  </si>
  <si>
    <t>Parks</t>
  </si>
  <si>
    <t>10 N Spring Valley Rd</t>
  </si>
  <si>
    <t>Temporary Assignment to Sandy Fitzner</t>
  </si>
  <si>
    <t>Maine Consolidated School</t>
  </si>
  <si>
    <t>phyllis</t>
  </si>
  <si>
    <t>pfielder@mcsd10.org</t>
  </si>
  <si>
    <t>P.O. Box 50010</t>
  </si>
  <si>
    <t>10 N. Spring Valley Rd.</t>
  </si>
  <si>
    <t>Globe Unified District</t>
  </si>
  <si>
    <t>Shelly</t>
  </si>
  <si>
    <t>Fuller</t>
  </si>
  <si>
    <t>shelly.fuller@globeschools.org</t>
  </si>
  <si>
    <t>460 North Willow Street</t>
  </si>
  <si>
    <t>Globe</t>
  </si>
  <si>
    <t>501 East Ash Street</t>
  </si>
  <si>
    <t>Temporary Assignment to Halie Knutson</t>
  </si>
  <si>
    <t>Copper Rim Elementary School</t>
  </si>
  <si>
    <t>Shelly.Fuller@globeschools.org</t>
  </si>
  <si>
    <t>1600 East Mesquite Street</t>
  </si>
  <si>
    <t>Globe High School</t>
  </si>
  <si>
    <t>401 South High Street</t>
  </si>
  <si>
    <t>High Desert Middle School</t>
  </si>
  <si>
    <t>4000 High Desert Drive</t>
  </si>
  <si>
    <t>Payson Unified District</t>
  </si>
  <si>
    <t>Mary Jo</t>
  </si>
  <si>
    <t>Turvey</t>
  </si>
  <si>
    <t>Food Service Coordinator</t>
  </si>
  <si>
    <t>maryjo.turvey@pusd10.org</t>
  </si>
  <si>
    <t>P.O. Box 919</t>
  </si>
  <si>
    <t>Payson</t>
  </si>
  <si>
    <t>902 West  Main Street</t>
  </si>
  <si>
    <t>Rim Country Middle School</t>
  </si>
  <si>
    <t>Food Services Coordinator</t>
  </si>
  <si>
    <t>PO Box 919</t>
  </si>
  <si>
    <t>304 South Meadow Street</t>
  </si>
  <si>
    <t>Julia Randall Elementary School</t>
  </si>
  <si>
    <t>601 South Green Valley Parkway</t>
  </si>
  <si>
    <t>Payson Elementary School</t>
  </si>
  <si>
    <t>500 East Rancho Road</t>
  </si>
  <si>
    <t>Payson High School</t>
  </si>
  <si>
    <t>301 South McLane Road</t>
  </si>
  <si>
    <t>Payson Center for Success High School</t>
  </si>
  <si>
    <t>514 West Wade Street</t>
  </si>
  <si>
    <t>San Carlos Unified District</t>
  </si>
  <si>
    <t>Roberta</t>
  </si>
  <si>
    <t>Belvado</t>
  </si>
  <si>
    <t>SAIS Coordinator</t>
  </si>
  <si>
    <t>r.belvado@sancarlos.k12.az.us</t>
  </si>
  <si>
    <t>PO Box 207</t>
  </si>
  <si>
    <t>San Carlos</t>
  </si>
  <si>
    <t>San Carlos Avenue</t>
  </si>
  <si>
    <t>San Carlos Middle School</t>
  </si>
  <si>
    <t>Orzella</t>
  </si>
  <si>
    <t>Sam</t>
  </si>
  <si>
    <t>o.sam@sancarlos.12.az.us</t>
  </si>
  <si>
    <t>P O BOX 207</t>
  </si>
  <si>
    <t>San Carlos High School</t>
  </si>
  <si>
    <t>Rose</t>
  </si>
  <si>
    <t>Dosela</t>
  </si>
  <si>
    <t>rosedosela@yahoo.com</t>
  </si>
  <si>
    <t>P O Box 201</t>
  </si>
  <si>
    <t>Highway 70, Mile Post 270</t>
  </si>
  <si>
    <t>Rice Elementary School</t>
  </si>
  <si>
    <t>o.sam@sancarlos.k12.az.us</t>
  </si>
  <si>
    <t>San Carlos Alternative High School</t>
  </si>
  <si>
    <t>P O Box 2071</t>
  </si>
  <si>
    <t>Highway 70 Milepost 270</t>
  </si>
  <si>
    <t>Miami Unified District</t>
  </si>
  <si>
    <t>Lisa</t>
  </si>
  <si>
    <t>Marquez</t>
  </si>
  <si>
    <t>lmarquez@miamiusd40.org</t>
  </si>
  <si>
    <t>PO Box 2070</t>
  </si>
  <si>
    <t>Miami</t>
  </si>
  <si>
    <t>4739 East Ragus Road</t>
  </si>
  <si>
    <t>Lee Kornegay Intermediate School</t>
  </si>
  <si>
    <t>Julia</t>
  </si>
  <si>
    <t>Asanovich</t>
  </si>
  <si>
    <t>Accounts Specialist</t>
  </si>
  <si>
    <t>jasanovich25@hotmail.com</t>
  </si>
  <si>
    <t>4635 East Ragus Road</t>
  </si>
  <si>
    <t>Miami Junior Senior High School</t>
  </si>
  <si>
    <t>jasanovich@miamiusd40.org</t>
  </si>
  <si>
    <t>4739 E Ragus Road</t>
  </si>
  <si>
    <t>Dr. Charles A. Bejarano Elementary School</t>
  </si>
  <si>
    <t>Miami,</t>
  </si>
  <si>
    <t>4635 B East Ragus Road</t>
  </si>
  <si>
    <t>Hayden-Winkelman Unified District</t>
  </si>
  <si>
    <t>Martinez</t>
  </si>
  <si>
    <t>martinezba@hwusd.org</t>
  </si>
  <si>
    <t>PO Box 409</t>
  </si>
  <si>
    <t>Winkelman</t>
  </si>
  <si>
    <t>824 Thorne Avenue</t>
  </si>
  <si>
    <t>Leonor Hambly K-8</t>
  </si>
  <si>
    <t>Nina</t>
  </si>
  <si>
    <t>ruizn@hwusd.org</t>
  </si>
  <si>
    <t>Young Elementary District</t>
  </si>
  <si>
    <t>Starla</t>
  </si>
  <si>
    <t>Zimmerschied</t>
  </si>
  <si>
    <t>Cafeteria Director</t>
  </si>
  <si>
    <t>starlaz@youngschool.org</t>
  </si>
  <si>
    <t>P O Box 390</t>
  </si>
  <si>
    <t>Young</t>
  </si>
  <si>
    <t>#46878 Higway 288</t>
  </si>
  <si>
    <t>Young Elementary School</t>
  </si>
  <si>
    <t>starla</t>
  </si>
  <si>
    <t>zimmerschied</t>
  </si>
  <si>
    <t>P.O. Box 390</t>
  </si>
  <si>
    <t>#46878 Highway 288</t>
  </si>
  <si>
    <t>Young High School</t>
  </si>
  <si>
    <t>Pine Strawberry Elementary District</t>
  </si>
  <si>
    <t>Patricia</t>
  </si>
  <si>
    <t>Howard</t>
  </si>
  <si>
    <t>Cafeteria Mgr.</t>
  </si>
  <si>
    <t>phoward@pineesd.org</t>
  </si>
  <si>
    <t>P.O.Box 1150</t>
  </si>
  <si>
    <t>Pine</t>
  </si>
  <si>
    <t>3868 N. Pine Creek DR.</t>
  </si>
  <si>
    <t>Pine Strawberry Elementary School</t>
  </si>
  <si>
    <t>Cafeteria mgr.</t>
  </si>
  <si>
    <t>3868 N. Pine Creek Dr.</t>
  </si>
  <si>
    <t>Tonto Basin Elementary District</t>
  </si>
  <si>
    <t>Jeannie</t>
  </si>
  <si>
    <t>Cline</t>
  </si>
  <si>
    <t>Food Service Director / Manager</t>
  </si>
  <si>
    <t>jcline@tontobasinschool.org</t>
  </si>
  <si>
    <t>P.O. Box  337</t>
  </si>
  <si>
    <t>Tonto Basin</t>
  </si>
  <si>
    <t>#445 South Old Highway 188</t>
  </si>
  <si>
    <t>Tonto Basin Elementary</t>
  </si>
  <si>
    <t>PO Box 337</t>
  </si>
  <si>
    <t>Safford Unified District</t>
  </si>
  <si>
    <t>Tim</t>
  </si>
  <si>
    <t>McHugh</t>
  </si>
  <si>
    <t>Director of Support Operations</t>
  </si>
  <si>
    <t>tmchugh@saffordusd.com</t>
  </si>
  <si>
    <t>734  W. 11th Street</t>
  </si>
  <si>
    <t>Safford</t>
  </si>
  <si>
    <t>Andrea Coffman</t>
  </si>
  <si>
    <t>Dorothy Stinson School</t>
  </si>
  <si>
    <t>Maribel</t>
  </si>
  <si>
    <t>Duarte</t>
  </si>
  <si>
    <t>Site Supervisor</t>
  </si>
  <si>
    <t>dss_foods@saffordusd.com</t>
  </si>
  <si>
    <t>2013 8th avenue</t>
  </si>
  <si>
    <t>Lafe Nelson School</t>
  </si>
  <si>
    <t>Erika</t>
  </si>
  <si>
    <t>Romero</t>
  </si>
  <si>
    <t>lns_foods@saffordusd.com</t>
  </si>
  <si>
    <t>1100 10th avenue</t>
  </si>
  <si>
    <t>Safford Middle School</t>
  </si>
  <si>
    <t>Rebecca</t>
  </si>
  <si>
    <t>Waltz</t>
  </si>
  <si>
    <t>sms_foods@saffordusd.com</t>
  </si>
  <si>
    <t>734 11th Street</t>
  </si>
  <si>
    <t>1067 8th Ave.</t>
  </si>
  <si>
    <t>Safford High School</t>
  </si>
  <si>
    <t>Gloria</t>
  </si>
  <si>
    <t>Gallegos</t>
  </si>
  <si>
    <t>jwalker@saffordusd.com</t>
  </si>
  <si>
    <t>1400 11th Avenue</t>
  </si>
  <si>
    <t>Mt Graham High School</t>
  </si>
  <si>
    <t>Toni</t>
  </si>
  <si>
    <t>Cashier</t>
  </si>
  <si>
    <t>truiz@saffordusd.com</t>
  </si>
  <si>
    <t>734 11th St</t>
  </si>
  <si>
    <t>300 W Discovery Park Blvd</t>
  </si>
  <si>
    <t>Ruth Powell Elementary School</t>
  </si>
  <si>
    <t>Jean</t>
  </si>
  <si>
    <t>Site Suervisor</t>
  </si>
  <si>
    <t>rps_foods@saffordusd.com</t>
  </si>
  <si>
    <t>734 11 th St</t>
  </si>
  <si>
    <t>1041 S. 14th  Ave</t>
  </si>
  <si>
    <t>Thatcher Unified District</t>
  </si>
  <si>
    <t>Anita</t>
  </si>
  <si>
    <t>Maldonado</t>
  </si>
  <si>
    <t>Purchasing Clerk/Accounts Payable</t>
  </si>
  <si>
    <t>maldonado.anita@thatcherud.og</t>
  </si>
  <si>
    <t>Thatcher</t>
  </si>
  <si>
    <t>3490 Main Street</t>
  </si>
  <si>
    <t>Jack Daley Primary School</t>
  </si>
  <si>
    <t>Ken</t>
  </si>
  <si>
    <t>Green</t>
  </si>
  <si>
    <t>green.ken@thatcherud.org</t>
  </si>
  <si>
    <t>3500 2nd Street</t>
  </si>
  <si>
    <t>Thatcher Elementary School</t>
  </si>
  <si>
    <t>1386 N 4th Avenue</t>
  </si>
  <si>
    <t>Thatcher Middle School</t>
  </si>
  <si>
    <t>1300 N 4th Avenue</t>
  </si>
  <si>
    <t>Thatcher High School</t>
  </si>
  <si>
    <t>601 N 3rd Avenue</t>
  </si>
  <si>
    <t>Pima Unified District</t>
  </si>
  <si>
    <t>Roberts</t>
  </si>
  <si>
    <t>School Food Authority</t>
  </si>
  <si>
    <t>jroberts@pimaschools.com</t>
  </si>
  <si>
    <t>P.O. BOX 429</t>
  </si>
  <si>
    <t>PIMA</t>
  </si>
  <si>
    <t>192 SOUTH MAIN STREET</t>
  </si>
  <si>
    <t>Dan Hinton Accommodation School</t>
  </si>
  <si>
    <t>Business manager</t>
  </si>
  <si>
    <t>131 South Main Street</t>
  </si>
  <si>
    <t>Pima Elementary School</t>
  </si>
  <si>
    <t>131 S. Main St.</t>
  </si>
  <si>
    <t>Pima High School</t>
  </si>
  <si>
    <t>131 SOUTH MAIN STREET</t>
  </si>
  <si>
    <t>Fort Thomas Unified District</t>
  </si>
  <si>
    <t>Lenora</t>
  </si>
  <si>
    <t>Bowman</t>
  </si>
  <si>
    <t>lbowman@ftusd.org</t>
  </si>
  <si>
    <t>PO Box 300</t>
  </si>
  <si>
    <t>Ft. Thomas</t>
  </si>
  <si>
    <t>15560 W. Elementary School Road</t>
  </si>
  <si>
    <t>Fort Thomas Elementary School</t>
  </si>
  <si>
    <t>Lori</t>
  </si>
  <si>
    <t>Sandoval</t>
  </si>
  <si>
    <t>Director of Food Services</t>
  </si>
  <si>
    <t>lsandoval@ftusd.org</t>
  </si>
  <si>
    <t>P.O. Box 55</t>
  </si>
  <si>
    <t>Fort Thomas High School</t>
  </si>
  <si>
    <t>Director of Food Service</t>
  </si>
  <si>
    <t>P.O. Box 28</t>
  </si>
  <si>
    <t>15540 W. Highway 70</t>
  </si>
  <si>
    <t>Mt. Turnbull Academy</t>
  </si>
  <si>
    <t>PO Box 129</t>
  </si>
  <si>
    <t>Bylas</t>
  </si>
  <si>
    <t>100 Rodeo Road</t>
  </si>
  <si>
    <t>Mt. Turnbull Elementary School</t>
  </si>
  <si>
    <t>1 Mount Turnbull Ave.</t>
  </si>
  <si>
    <t>Solomon Elementary District</t>
  </si>
  <si>
    <t>Kevin</t>
  </si>
  <si>
    <t>Engalnd</t>
  </si>
  <si>
    <t>gloria@solomon.k12.az.us</t>
  </si>
  <si>
    <t>P.O. Box 167</t>
  </si>
  <si>
    <t>Solomon</t>
  </si>
  <si>
    <t>2250 South Stevens Ave</t>
  </si>
  <si>
    <t>Solomon Elementary School</t>
  </si>
  <si>
    <t>England</t>
  </si>
  <si>
    <t>Superintendents Secretary</t>
  </si>
  <si>
    <t>Box 167</t>
  </si>
  <si>
    <t>2250 South Stevens Ave.</t>
  </si>
  <si>
    <t>Bonita Elementary District</t>
  </si>
  <si>
    <t>Peggy</t>
  </si>
  <si>
    <t>Johnson</t>
  </si>
  <si>
    <t>Manager</t>
  </si>
  <si>
    <t>pjohnson@bonitaesd.com</t>
  </si>
  <si>
    <t>18008 Fort Grant Rd.</t>
  </si>
  <si>
    <t>Bonita</t>
  </si>
  <si>
    <t>Bonita Elementary School</t>
  </si>
  <si>
    <t>Duncan Unified District</t>
  </si>
  <si>
    <t>Shiloh</t>
  </si>
  <si>
    <t>Patton</t>
  </si>
  <si>
    <t>spatton@duncanschools.org</t>
  </si>
  <si>
    <t>P. O. Box 710</t>
  </si>
  <si>
    <t>Duncan</t>
  </si>
  <si>
    <t>208 Stadium Blvd.</t>
  </si>
  <si>
    <t>Duncan Elementary</t>
  </si>
  <si>
    <t>92 Campbell St.</t>
  </si>
  <si>
    <t>Duncan High School</t>
  </si>
  <si>
    <t>108 Stadium Blvd.</t>
  </si>
  <si>
    <t>Morenci Unified District</t>
  </si>
  <si>
    <t>Deborah</t>
  </si>
  <si>
    <t>Lucero</t>
  </si>
  <si>
    <t>dlucero@morenci.org</t>
  </si>
  <si>
    <t>PO Box 1060</t>
  </si>
  <si>
    <t>Morenci</t>
  </si>
  <si>
    <t>1056  Fairbanks Road</t>
  </si>
  <si>
    <t>Morenci High School</t>
  </si>
  <si>
    <t>dlucero@morenci.k12.az.us</t>
  </si>
  <si>
    <t>1056  Fairbanks Road - Cafeteria</t>
  </si>
  <si>
    <t>473 Stadium Drive - School</t>
  </si>
  <si>
    <t>Metcalf Elementary School</t>
  </si>
  <si>
    <t>904  Fairbanks Road</t>
  </si>
  <si>
    <t>Fairbanks Middle School</t>
  </si>
  <si>
    <t>P.O Box 1060</t>
  </si>
  <si>
    <t>1056 Fairbanks Road</t>
  </si>
  <si>
    <t>Maricopa County Regional School District</t>
  </si>
  <si>
    <t>Janice</t>
  </si>
  <si>
    <t>Wheeler</t>
  </si>
  <si>
    <t>Federal Programs</t>
  </si>
  <si>
    <t>janice.wheeler@mcrsd.org</t>
  </si>
  <si>
    <t>4041 N. Central Avenue, Suite 1200</t>
  </si>
  <si>
    <t>Phoenix</t>
  </si>
  <si>
    <t>Esperanza Prep</t>
  </si>
  <si>
    <t>1938 E. Apache Blvd.</t>
  </si>
  <si>
    <t>Tempe</t>
  </si>
  <si>
    <t>Hope College and Career Readiness Academy</t>
  </si>
  <si>
    <t>Larry</t>
  </si>
  <si>
    <t>Ross</t>
  </si>
  <si>
    <t>Dean of Students</t>
  </si>
  <si>
    <t>Larry.Ross@mcrsd.org</t>
  </si>
  <si>
    <t>6401 S. 16th Street</t>
  </si>
  <si>
    <t>Mesa Unified District</t>
  </si>
  <si>
    <t>Loretta</t>
  </si>
  <si>
    <t>Zullo</t>
  </si>
  <si>
    <t>ljzullo@mpsaz.org</t>
  </si>
  <si>
    <t>143 S. Alma School Rd.</t>
  </si>
  <si>
    <t>Mesa</t>
  </si>
  <si>
    <t>Adams Elementary School</t>
  </si>
  <si>
    <t>738 S. Longmore</t>
  </si>
  <si>
    <t>Edison Elementary School</t>
  </si>
  <si>
    <t>545 N. Horne</t>
  </si>
  <si>
    <t>Emerson Elementary School</t>
  </si>
  <si>
    <t>143 South Alma School Road</t>
  </si>
  <si>
    <t>415 N. Westwood Dr</t>
  </si>
  <si>
    <t>Franklin East Elementary School</t>
  </si>
  <si>
    <t>1753 E. 8th Ave.</t>
  </si>
  <si>
    <t>Michael T. Hughes Elementary School</t>
  </si>
  <si>
    <t>630 N. Hunt Drive</t>
  </si>
  <si>
    <t>Holmes Elementary School</t>
  </si>
  <si>
    <t>948 S. Horne</t>
  </si>
  <si>
    <t>Irving Elementary School</t>
  </si>
  <si>
    <t>3220 E. Pueblo</t>
  </si>
  <si>
    <t>Jefferson Elementary School</t>
  </si>
  <si>
    <t>120 S. Jefferson</t>
  </si>
  <si>
    <t>Lehi Elementary School</t>
  </si>
  <si>
    <t>2555 N. Stapley</t>
  </si>
  <si>
    <t>Lincoln Elementary School</t>
  </si>
  <si>
    <t>930 S. Sirrine</t>
  </si>
  <si>
    <t>Longfellow Elementary School</t>
  </si>
  <si>
    <t>143 S. Alma School</t>
  </si>
  <si>
    <t>345 S. Hall</t>
  </si>
  <si>
    <t>Lowell Elementary School</t>
  </si>
  <si>
    <t>920 E. Broadway</t>
  </si>
  <si>
    <t>Franklin West Elementary</t>
  </si>
  <si>
    <t>236 S. Sirrine</t>
  </si>
  <si>
    <t>Webster Elementary School</t>
  </si>
  <si>
    <t>202 N. Sycamore</t>
  </si>
  <si>
    <t>Whittier Elementary School</t>
  </si>
  <si>
    <t>lJzullo@mpsaz.org</t>
  </si>
  <si>
    <t>733 N. Longmore</t>
  </si>
  <si>
    <t>Whitman Elementary School</t>
  </si>
  <si>
    <t>1829 N. Grand</t>
  </si>
  <si>
    <t>Taft Elementary School</t>
  </si>
  <si>
    <t>9800 E. Quarterline Rd.</t>
  </si>
  <si>
    <t>Hale Elementary School</t>
  </si>
  <si>
    <t>1425 N. 23rd St.</t>
  </si>
  <si>
    <t>Eisenhower Center for Innovation</t>
  </si>
  <si>
    <t>143 S. Alma School Road</t>
  </si>
  <si>
    <t>848 N. Mesa Drive</t>
  </si>
  <si>
    <t>Roosevelt Elementary School</t>
  </si>
  <si>
    <t>828 S. Valencia</t>
  </si>
  <si>
    <t>Lindbergh Elementary School</t>
  </si>
  <si>
    <t>930 S. Lazona</t>
  </si>
  <si>
    <t>Redbird Elementary School</t>
  </si>
  <si>
    <t>1020 E. Extension</t>
  </si>
  <si>
    <t>Salk Elementary School</t>
  </si>
  <si>
    <t>7029 E. Brown Rd.</t>
  </si>
  <si>
    <t>Field Elementary School</t>
  </si>
  <si>
    <t>2325 E. Adobe</t>
  </si>
  <si>
    <t>Washington Elementary School</t>
  </si>
  <si>
    <t>2260 W. Isabella Ave.</t>
  </si>
  <si>
    <t>638 S. 96th St.</t>
  </si>
  <si>
    <t>Keller Elementary School</t>
  </si>
  <si>
    <t>1445 E. Hilton</t>
  </si>
  <si>
    <t>MacArthur Elementary School</t>
  </si>
  <si>
    <t>1435 E. McLellan</t>
  </si>
  <si>
    <t>Pomeroy Elementary School</t>
  </si>
  <si>
    <t>1507 W. Shawnee Dr.</t>
  </si>
  <si>
    <t>Chandler</t>
  </si>
  <si>
    <t>Highland Elementary School</t>
  </si>
  <si>
    <t>3042 E. Adobe</t>
  </si>
  <si>
    <t>Crismon Elementary School</t>
  </si>
  <si>
    <t>ljzullo@mpsas.org</t>
  </si>
  <si>
    <t>825 W. Medina</t>
  </si>
  <si>
    <t>Robson Elementary School</t>
  </si>
  <si>
    <t>2122 E. Pueblo</t>
  </si>
  <si>
    <t>Sirrine Elementary School</t>
  </si>
  <si>
    <t>591 W. Mesquite</t>
  </si>
  <si>
    <t>Johnson Elementary School</t>
  </si>
  <si>
    <t>3807 E. Pueblo</t>
  </si>
  <si>
    <t>O'Connor Elementary School</t>
  </si>
  <si>
    <t>4840 E. Adobe</t>
  </si>
  <si>
    <t>Mendoza Elementary School</t>
  </si>
  <si>
    <t>5831 E. McLellan Rd</t>
  </si>
  <si>
    <t>Ishikawa Elementary School</t>
  </si>
  <si>
    <t>2635 N. 32nd Street</t>
  </si>
  <si>
    <t>Madison Elementary School</t>
  </si>
  <si>
    <t>849 S. Sunnyvale Street</t>
  </si>
  <si>
    <t>Sousa Elementary School</t>
  </si>
  <si>
    <t>616 N. Mountain Rd.</t>
  </si>
  <si>
    <t>Hermosa Vista Elementary School</t>
  </si>
  <si>
    <t>2626 N. 24th Street</t>
  </si>
  <si>
    <t>Falcon Hill Elementary School</t>
  </si>
  <si>
    <t>1645 N. Sterling Street</t>
  </si>
  <si>
    <t>Porter Elementary School</t>
  </si>
  <si>
    <t>1350 S. Lindsay Rd.</t>
  </si>
  <si>
    <t>Kerr Elementary School</t>
  </si>
  <si>
    <t>125 E. McLellan</t>
  </si>
  <si>
    <t>Entz Elementary School</t>
  </si>
  <si>
    <t>4132 E. Adobe</t>
  </si>
  <si>
    <t>Red Mountain Ranch Elementary</t>
  </si>
  <si>
    <t>6650 E. Raftriver Street</t>
  </si>
  <si>
    <t>Bush Elementary</t>
  </si>
  <si>
    <t>4925 E. Ingram St.</t>
  </si>
  <si>
    <t>Las Sendas Elementary School</t>
  </si>
  <si>
    <t>3120 N. Red Mountain</t>
  </si>
  <si>
    <t>S H A R P</t>
  </si>
  <si>
    <t>7302 E. Adobe Road</t>
  </si>
  <si>
    <t>Riverview High School</t>
  </si>
  <si>
    <t>1731 N. Country Club Dr.</t>
  </si>
  <si>
    <t>Eagleridge Enrichment Program</t>
  </si>
  <si>
    <t>1313 W. Medina Ave.</t>
  </si>
  <si>
    <t>Carson Junior  High School</t>
  </si>
  <si>
    <t>525 N. Westwood</t>
  </si>
  <si>
    <t>Kino Junior High School</t>
  </si>
  <si>
    <t>848 N. Horne</t>
  </si>
  <si>
    <t>Fremont Junior High School</t>
  </si>
  <si>
    <t>1001 N. Power Rd.</t>
  </si>
  <si>
    <t>Poston Junior High School</t>
  </si>
  <si>
    <t>2433 E. Adobe St.</t>
  </si>
  <si>
    <t>Rhodes Junior High School</t>
  </si>
  <si>
    <t>1860 S. Longmore</t>
  </si>
  <si>
    <t>Taylor Junior High School</t>
  </si>
  <si>
    <t>705 S. 32nd Street</t>
  </si>
  <si>
    <t>Shepherd Junior High School</t>
  </si>
  <si>
    <t>1407 N. Alta Mesa Dr.</t>
  </si>
  <si>
    <t>Stapley Junior High School</t>
  </si>
  <si>
    <t>3250 E. Hermosa Vista Dr.</t>
  </si>
  <si>
    <t>Mesa High School</t>
  </si>
  <si>
    <t>1630 E. Southern Ave.</t>
  </si>
  <si>
    <t>Westwood High School</t>
  </si>
  <si>
    <t>945 W. Rio Salado Parkway</t>
  </si>
  <si>
    <t>Mountain View High School</t>
  </si>
  <si>
    <t>2700 E. Brown Rd.</t>
  </si>
  <si>
    <t>Dobson High School</t>
  </si>
  <si>
    <t>1501 W. Guadalupe Rd.</t>
  </si>
  <si>
    <t>Red Mountain High School</t>
  </si>
  <si>
    <t>7301 E Brown Road</t>
  </si>
  <si>
    <t>Wilson Elementary School</t>
  </si>
  <si>
    <t>5619 E. Glade Ave.</t>
  </si>
  <si>
    <t>Skyline High School</t>
  </si>
  <si>
    <t>845 S. Crismon Rd.</t>
  </si>
  <si>
    <t>East Valley Academy</t>
  </si>
  <si>
    <t>855 W. 8th Avenue</t>
  </si>
  <si>
    <t>Superstition High School</t>
  </si>
  <si>
    <t>10222 E. Southern</t>
  </si>
  <si>
    <t>Patterson Elementary</t>
  </si>
  <si>
    <t>615 S. Cheshire</t>
  </si>
  <si>
    <t>Guerrero Elementary School</t>
  </si>
  <si>
    <t>463 S. Alma School Rd.</t>
  </si>
  <si>
    <t>Smith Junior High School</t>
  </si>
  <si>
    <t>10100 E. Adobe</t>
  </si>
  <si>
    <t>Brinton Elementary</t>
  </si>
  <si>
    <t>11455 E. Sunland Ave.</t>
  </si>
  <si>
    <t>Zaharis Elementary</t>
  </si>
  <si>
    <t>9410 E. McKellips</t>
  </si>
  <si>
    <t>Crossroads</t>
  </si>
  <si>
    <t>143 S. Alma School Rd</t>
  </si>
  <si>
    <t>Mesa Academy for Advanced Studies</t>
  </si>
  <si>
    <t>6919 E. Brown Rd.</t>
  </si>
  <si>
    <t>Franklin Junior High School</t>
  </si>
  <si>
    <t>4949 E. Southern Ave.</t>
  </si>
  <si>
    <t>Franklin at Alma Elementary</t>
  </si>
  <si>
    <t>Summit Academy</t>
  </si>
  <si>
    <t>1560 W. Summit Place</t>
  </si>
  <si>
    <t>Franklin at Brimhall Elementary</t>
  </si>
  <si>
    <t>4949 E. Southern Avenue</t>
  </si>
  <si>
    <t>Wickenburg Unified District</t>
  </si>
  <si>
    <t>Erin</t>
  </si>
  <si>
    <t>Executive Director of Business Services</t>
  </si>
  <si>
    <t>ejohnson@wusd9.org</t>
  </si>
  <si>
    <t>40 W. Yavapai St.</t>
  </si>
  <si>
    <t>Wickenburg</t>
  </si>
  <si>
    <t>Vulture Peak Middle School</t>
  </si>
  <si>
    <t>Sandi</t>
  </si>
  <si>
    <t>Krueger</t>
  </si>
  <si>
    <t>Accounts Manager</t>
  </si>
  <si>
    <t>skrueger@wusd9.org</t>
  </si>
  <si>
    <t>920 S. Vulture Mine Rd.</t>
  </si>
  <si>
    <t>Wickenburg High School</t>
  </si>
  <si>
    <t>1090 S. Vulture Mine Rd.</t>
  </si>
  <si>
    <t>Hassayampa Elementary School</t>
  </si>
  <si>
    <t>251 S. Tegner St.</t>
  </si>
  <si>
    <t>Festival Foothills Elementary School</t>
  </si>
  <si>
    <t>26252 W. Desert Vista Blvd</t>
  </si>
  <si>
    <t>Buckeye</t>
  </si>
  <si>
    <t>Peoria Unified School District</t>
  </si>
  <si>
    <t>Sandra</t>
  </si>
  <si>
    <t>Schossow</t>
  </si>
  <si>
    <t>Director of Food and Nutrition</t>
  </si>
  <si>
    <t>sschossow@pusd11.net</t>
  </si>
  <si>
    <t>10721 N. 95th Avenue</t>
  </si>
  <si>
    <t>Peoria</t>
  </si>
  <si>
    <t>Taryn Kunkel</t>
  </si>
  <si>
    <t>Peoria Elementary School</t>
  </si>
  <si>
    <t>11501 N. 79th Avenue</t>
  </si>
  <si>
    <t>Ira A Murphy</t>
  </si>
  <si>
    <t>7231 W. North Lane</t>
  </si>
  <si>
    <t>Kachina Elementary School</t>
  </si>
  <si>
    <t>5304 W. Crocus</t>
  </si>
  <si>
    <t>Glendale</t>
  </si>
  <si>
    <t>Heritage School</t>
  </si>
  <si>
    <t>5312 W. Mountain View</t>
  </si>
  <si>
    <t>Pioneer Elementary School</t>
  </si>
  <si>
    <t>6315 W. Port au Prince Lane</t>
  </si>
  <si>
    <t>Alta Loma School</t>
  </si>
  <si>
    <t>9750 North 87th Avenue</t>
  </si>
  <si>
    <t>Desert Palms Elementary School</t>
  </si>
  <si>
    <t>11441 N. 55th Avenue</t>
  </si>
  <si>
    <t>Foothills Elementary School</t>
  </si>
  <si>
    <t>15808 N. 63rd Avenue</t>
  </si>
  <si>
    <t>Copperwood School</t>
  </si>
  <si>
    <t>11232 N. 65th Avenue</t>
  </si>
  <si>
    <t>Sundance Elementary School</t>
  </si>
  <si>
    <t>Driector</t>
  </si>
  <si>
    <t>7051 W. Cholla Street</t>
  </si>
  <si>
    <t>Cotton Boll School</t>
  </si>
  <si>
    <t>8540 W. Butler</t>
  </si>
  <si>
    <t>Oakwood Elementary School</t>
  </si>
  <si>
    <t>12900 N. 71st Avenue</t>
  </si>
  <si>
    <t>Desert Valley Elementary School</t>
  </si>
  <si>
    <t>12901 N. 63rd Avenue</t>
  </si>
  <si>
    <t>Sahuaro Ranch Elementary School</t>
  </si>
  <si>
    <t>10401 N. 63rd Avenue</t>
  </si>
  <si>
    <t>Oasis Elementary School</t>
  </si>
  <si>
    <t>7841 W. Sweetwater</t>
  </si>
  <si>
    <t>Sun Valley Elementary School</t>
  </si>
  <si>
    <t>8361 N. 95th Avenue</t>
  </si>
  <si>
    <t>Sky View Elementary School</t>
  </si>
  <si>
    <t>8624 W. Sweetwater</t>
  </si>
  <si>
    <t>Apache Elementary School</t>
  </si>
  <si>
    <t>8633 W. John Cabot Road</t>
  </si>
  <si>
    <t>Canyon Elementary School</t>
  </si>
  <si>
    <t>5490 W. Paradise Lane</t>
  </si>
  <si>
    <t>Marshall Ranch Elementary School</t>
  </si>
  <si>
    <t>12995 N. Marshall Ranch Drive</t>
  </si>
  <si>
    <t>Santa Fe Elementary School</t>
  </si>
  <si>
    <t>9880 N. 77th Avenue</t>
  </si>
  <si>
    <t>Paseo Verde Elementary School</t>
  </si>
  <si>
    <t>7880 W. Greenway</t>
  </si>
  <si>
    <t>Desert Harbor Elementary School</t>
  </si>
  <si>
    <t>15585 N. 91st Avenue</t>
  </si>
  <si>
    <t>Cheyenne Elementary School</t>
  </si>
  <si>
    <t>11806 N. 87th avenue</t>
  </si>
  <si>
    <t>Peoria High School</t>
  </si>
  <si>
    <t>11200 N. 83rd Avenue</t>
  </si>
  <si>
    <t>Cactus High School</t>
  </si>
  <si>
    <t>6330 W. Greenway Road</t>
  </si>
  <si>
    <t>Ironwood High School</t>
  </si>
  <si>
    <t>6051 W. Sweetwater</t>
  </si>
  <si>
    <t>Centennial High School</t>
  </si>
  <si>
    <t>14388 N. 79th Avenue</t>
  </si>
  <si>
    <t>Sunrise Mountain High School</t>
  </si>
  <si>
    <t>21200 N. 83rd Avenue</t>
  </si>
  <si>
    <t>Frontier Elementary School</t>
  </si>
  <si>
    <t>21258 N. 81st Avenue</t>
  </si>
  <si>
    <t>Peoria Flex Academy</t>
  </si>
  <si>
    <t>Coyote Hills Elementary School</t>
  </si>
  <si>
    <t>21180 N. 87th Avenue</t>
  </si>
  <si>
    <t>Country Meadows Elementary School</t>
  </si>
  <si>
    <t>8409 N. 111th Avenue</t>
  </si>
  <si>
    <t>Zuni Hills Elementary School</t>
  </si>
  <si>
    <t>10851 W. Williams Road</t>
  </si>
  <si>
    <t>Parkridge Elementary</t>
  </si>
  <si>
    <t>9970 W. Beardsley Road</t>
  </si>
  <si>
    <t>Raymond S. Kellis</t>
  </si>
  <si>
    <t>8990 West Orangewood Avenue</t>
  </si>
  <si>
    <t>Liberty High School</t>
  </si>
  <si>
    <t>9621 W. Speckled Gecko Drive</t>
  </si>
  <si>
    <t>Vistancia Elementary School</t>
  </si>
  <si>
    <t>30009 N. Sunrise Point</t>
  </si>
  <si>
    <t>Lake Pleasant Elementary</t>
  </si>
  <si>
    <t>31501 N. Westland Rd.</t>
  </si>
  <si>
    <t>Aurora Day School West</t>
  </si>
  <si>
    <t>Schneider</t>
  </si>
  <si>
    <t>cheryl.schneider@catapultlearning.com</t>
  </si>
  <si>
    <t>8155 W. Thunderbird Road</t>
  </si>
  <si>
    <t>Peoria Traditional School</t>
  </si>
  <si>
    <t>Sunset Heights Elementary School</t>
  </si>
  <si>
    <t>10721 N 95th Ave</t>
  </si>
  <si>
    <t>9687 N Adam Ave</t>
  </si>
  <si>
    <t>Sunflower School</t>
  </si>
  <si>
    <t>Marianne</t>
  </si>
  <si>
    <t>Maxwell</t>
  </si>
  <si>
    <t>mmaxwell@pusd11.net</t>
  </si>
  <si>
    <t>5490 W Paradise Lane</t>
  </si>
  <si>
    <t>Gila Bend Unified District</t>
  </si>
  <si>
    <t>Kitty</t>
  </si>
  <si>
    <t>Dominquez</t>
  </si>
  <si>
    <t>kittyd@gbusd.org</t>
  </si>
  <si>
    <t>PO BOX V</t>
  </si>
  <si>
    <t>GILA BEND</t>
  </si>
  <si>
    <t>308 NORTH MARTIN AVE</t>
  </si>
  <si>
    <t>Gila Bend Elementary</t>
  </si>
  <si>
    <t>P. O. Box V</t>
  </si>
  <si>
    <t>308 N. Martin Ave</t>
  </si>
  <si>
    <t>Gila Bend</t>
  </si>
  <si>
    <t>Gilbert Unified District</t>
  </si>
  <si>
    <t>Debbie</t>
  </si>
  <si>
    <t>McCarron</t>
  </si>
  <si>
    <t>debbie.mccarron@gilbertschools.net</t>
  </si>
  <si>
    <t>140 S. Gilbert Rd.</t>
  </si>
  <si>
    <t>Gilbert</t>
  </si>
  <si>
    <t>Mesquite Jr High School</t>
  </si>
  <si>
    <t>Marydean</t>
  </si>
  <si>
    <t>Beretta</t>
  </si>
  <si>
    <t>marydean.beretta@gilbertschools.net</t>
  </si>
  <si>
    <t>130 W. Mesquite</t>
  </si>
  <si>
    <t>Greenfield Junior High School</t>
  </si>
  <si>
    <t>Dewitt</t>
  </si>
  <si>
    <t>rhonda.dewitt@gilbertschools.net</t>
  </si>
  <si>
    <t>101 S. Greenfield Rd.</t>
  </si>
  <si>
    <t>Gilbert Elementary School</t>
  </si>
  <si>
    <t>Ban</t>
  </si>
  <si>
    <t>Abdulghafoor</t>
  </si>
  <si>
    <t>manager</t>
  </si>
  <si>
    <t>ban.abdulghafoor@gilbertschools.net</t>
  </si>
  <si>
    <t>175 W. Elliot Road</t>
  </si>
  <si>
    <t>Greenfield Elementary School</t>
  </si>
  <si>
    <t>Fanny</t>
  </si>
  <si>
    <t>Mimbela</t>
  </si>
  <si>
    <t>fanny.mimbela@gilbertschools.net</t>
  </si>
  <si>
    <t>2550 E. Elliot Road</t>
  </si>
  <si>
    <t>Patterson Elementary School</t>
  </si>
  <si>
    <t>Rachelle</t>
  </si>
  <si>
    <t>Herrera</t>
  </si>
  <si>
    <t>rachelle.herrera@gilbertschools.net</t>
  </si>
  <si>
    <t>1211 E. Guadalupe</t>
  </si>
  <si>
    <t>Neely Traditional Academy</t>
  </si>
  <si>
    <t>Billingsley</t>
  </si>
  <si>
    <t>teresa.billingsley@gilbertschools.net</t>
  </si>
  <si>
    <t>321 W. Juniper</t>
  </si>
  <si>
    <t>Rosa</t>
  </si>
  <si>
    <t>rosa.gonzalez@gilbertschools.net</t>
  </si>
  <si>
    <t>1535 N. Greenfield Rd.</t>
  </si>
  <si>
    <t>Islands Elementary School</t>
  </si>
  <si>
    <t>Dominic</t>
  </si>
  <si>
    <t>dominic.romero@gilbertschools.net</t>
  </si>
  <si>
    <t>245 S. McQueen</t>
  </si>
  <si>
    <t>Houston Elementary School</t>
  </si>
  <si>
    <t>Marta</t>
  </si>
  <si>
    <t>Vykulil</t>
  </si>
  <si>
    <t>marta.vykulil@gilbertschools.net</t>
  </si>
  <si>
    <t>500 E. Houston</t>
  </si>
  <si>
    <t>Burk Elementary School</t>
  </si>
  <si>
    <t>Michelle</t>
  </si>
  <si>
    <t>Rhodes</t>
  </si>
  <si>
    <t>michelle.rhodes@gilbertschools.ent</t>
  </si>
  <si>
    <t>545 N. Burk</t>
  </si>
  <si>
    <t>Val Vista Lakes Elementary School</t>
  </si>
  <si>
    <t>Rachel</t>
  </si>
  <si>
    <t>Broughten</t>
  </si>
  <si>
    <t>rachelle.broughton@gilbertschools.net</t>
  </si>
  <si>
    <t>1030 N. Blue Grotto Dr.</t>
  </si>
  <si>
    <t>Mesquite Elementary School</t>
  </si>
  <si>
    <t>Darras</t>
  </si>
  <si>
    <t>jean.darras@gilbertschools.net</t>
  </si>
  <si>
    <t>1000 E. Mesquite Rd.</t>
  </si>
  <si>
    <t>Harris Elementary School</t>
  </si>
  <si>
    <t>Christina</t>
  </si>
  <si>
    <t>Umbarger</t>
  </si>
  <si>
    <t>christina.umbarger@gilbertschools.net</t>
  </si>
  <si>
    <t>1820 S. Harris Dr.</t>
  </si>
  <si>
    <t>Playa del Rey Elementary School</t>
  </si>
  <si>
    <t>Sosa</t>
  </si>
  <si>
    <t>pam.sosa@gilbertschools.net</t>
  </si>
  <si>
    <t>550 N. Horne</t>
  </si>
  <si>
    <t>Towne Meadows Elementary School</t>
  </si>
  <si>
    <t>Ginny</t>
  </si>
  <si>
    <t>Martin</t>
  </si>
  <si>
    <t>ginny.martin@gilbertschools.net</t>
  </si>
  <si>
    <t>1101 N. Recker Rd.</t>
  </si>
  <si>
    <t>Sonoma Ranch Elementary School</t>
  </si>
  <si>
    <t>Ione</t>
  </si>
  <si>
    <t>Richardson</t>
  </si>
  <si>
    <t>ione.richardson@gilbertschools.net</t>
  </si>
  <si>
    <t>601 N. Key Biscayne Dr.</t>
  </si>
  <si>
    <t>Superstition Springs Elementary</t>
  </si>
  <si>
    <t>Barnett</t>
  </si>
  <si>
    <t>susan.barnett@gilbertschools.net</t>
  </si>
  <si>
    <t>7125 E. Monterey Ave.</t>
  </si>
  <si>
    <t>Finley Farms Elementary</t>
  </si>
  <si>
    <t>Catherine</t>
  </si>
  <si>
    <t>McDermott</t>
  </si>
  <si>
    <t>catherine.mcdermott@gilbertschools.net</t>
  </si>
  <si>
    <t>375 S. Columbus Dr.</t>
  </si>
  <si>
    <t>Gilbert High School</t>
  </si>
  <si>
    <t>Judilynn</t>
  </si>
  <si>
    <t>Pearlman</t>
  </si>
  <si>
    <t>judilynn.pearlman@gilbertschools.net</t>
  </si>
  <si>
    <t>1101 E. Elliot Road</t>
  </si>
  <si>
    <t>Highland High School</t>
  </si>
  <si>
    <t>Lynda</t>
  </si>
  <si>
    <t>Labenskyj</t>
  </si>
  <si>
    <t>lynda.labenskyj@gilbertschools.net</t>
  </si>
  <si>
    <t>4301 E. Guadalupe Road</t>
  </si>
  <si>
    <t>Highland Jr High School</t>
  </si>
  <si>
    <t>Vicky</t>
  </si>
  <si>
    <t>Maude</t>
  </si>
  <si>
    <t>vicky.maude@gilbertschools.net</t>
  </si>
  <si>
    <t>6915 E. Guadalupe Rd.</t>
  </si>
  <si>
    <t>Mesquite High School</t>
  </si>
  <si>
    <t>Annette</t>
  </si>
  <si>
    <t>Miller</t>
  </si>
  <si>
    <t>annette.miller@gilbertschools.net</t>
  </si>
  <si>
    <t>500 S. McQueen Road</t>
  </si>
  <si>
    <t>Oak Tree Elementary</t>
  </si>
  <si>
    <t>Nicole</t>
  </si>
  <si>
    <t>Allison</t>
  </si>
  <si>
    <t>nicole.allison@gilbertschools.net</t>
  </si>
  <si>
    <t>505 W. Houston Ave.</t>
  </si>
  <si>
    <t>Settlers Point Elementary</t>
  </si>
  <si>
    <t>Josefina</t>
  </si>
  <si>
    <t>Escalante</t>
  </si>
  <si>
    <t>josefina.escalante@gilbertschools.net</t>
  </si>
  <si>
    <t>423 E. Settlers Point Dr.</t>
  </si>
  <si>
    <t>Carol Rae Ranch Elementary</t>
  </si>
  <si>
    <t>Sheer</t>
  </si>
  <si>
    <t>michelle.sheer@gilbertschools.net</t>
  </si>
  <si>
    <t>3777 E. Houston</t>
  </si>
  <si>
    <t>Boulder Creek Elementary</t>
  </si>
  <si>
    <t>Cindy</t>
  </si>
  <si>
    <t>Schlimmer</t>
  </si>
  <si>
    <t>cindy.schlimmer@gilbertschools.net</t>
  </si>
  <si>
    <t>8045 E. Portobello</t>
  </si>
  <si>
    <t>Ashland Elementary</t>
  </si>
  <si>
    <t>Olea</t>
  </si>
  <si>
    <t>Mangaer</t>
  </si>
  <si>
    <t>evangelina.olea@gilbertschools.net</t>
  </si>
  <si>
    <t>1945 S Ashland Ranch</t>
  </si>
  <si>
    <t>Desert Ridge Jr. High</t>
  </si>
  <si>
    <t>Brenda</t>
  </si>
  <si>
    <t>Reyes</t>
  </si>
  <si>
    <t>brenda.reyes@gilbertschools.net</t>
  </si>
  <si>
    <t>10211 E. Madero</t>
  </si>
  <si>
    <t>Augusta Ranch Elementary</t>
  </si>
  <si>
    <t>Katherine</t>
  </si>
  <si>
    <t>Willis</t>
  </si>
  <si>
    <t>katherine.willis@gilbertschools.net</t>
  </si>
  <si>
    <t>9430 E. Neville Ave</t>
  </si>
  <si>
    <t>Desert Ridge High</t>
  </si>
  <si>
    <t>Mai</t>
  </si>
  <si>
    <t>Rogers</t>
  </si>
  <si>
    <t>mai.rogers@gilbertschools.net</t>
  </si>
  <si>
    <t>10045 E. Madero Ave</t>
  </si>
  <si>
    <t>Canyon Rim Elementary</t>
  </si>
  <si>
    <t>Hallie</t>
  </si>
  <si>
    <t>Oswald</t>
  </si>
  <si>
    <t>hallie.oswald@gilbertschools.net</t>
  </si>
  <si>
    <t>3045 S. Canyon Rim</t>
  </si>
  <si>
    <t>Spectrum Elementary</t>
  </si>
  <si>
    <t>Devon</t>
  </si>
  <si>
    <t>Nelson</t>
  </si>
  <si>
    <t>devon.nelson@gilbertschools.net</t>
  </si>
  <si>
    <t>2846 S. Spectrum Way</t>
  </si>
  <si>
    <t>South Valley Jr. High</t>
  </si>
  <si>
    <t>Tammy</t>
  </si>
  <si>
    <t>Farris</t>
  </si>
  <si>
    <t>tammy.farris@gilbertschools.net</t>
  </si>
  <si>
    <t>2034 S. Lindsay</t>
  </si>
  <si>
    <t>Meridian</t>
  </si>
  <si>
    <t>Gagliardi</t>
  </si>
  <si>
    <t>teresa.gagliardi@gilbertschools.net</t>
  </si>
  <si>
    <t>3900 S. Mountain Road</t>
  </si>
  <si>
    <t>Highland Park Elementary</t>
  </si>
  <si>
    <t>Nicholas</t>
  </si>
  <si>
    <t>Rutty</t>
  </si>
  <si>
    <t>nicholas.rutty@gilbertschools.net</t>
  </si>
  <si>
    <t>230 N. Cole Drive</t>
  </si>
  <si>
    <t>Quartz Hill Elementary</t>
  </si>
  <si>
    <t>Melanie</t>
  </si>
  <si>
    <t>Paetow</t>
  </si>
  <si>
    <t>melanie.paetow@gilbertschools.net</t>
  </si>
  <si>
    <t>3680 S Quartz St</t>
  </si>
  <si>
    <t>Gilbert Classical Academy Jr.</t>
  </si>
  <si>
    <t>Hinojosa</t>
  </si>
  <si>
    <t>maria.hinojosa@gilbertschools.net</t>
  </si>
  <si>
    <t>1016 N Burk</t>
  </si>
  <si>
    <t>Campo Verde High School</t>
  </si>
  <si>
    <t>Carol</t>
  </si>
  <si>
    <t>Gilbo</t>
  </si>
  <si>
    <t>carol.gilbo@gilbertschools.net</t>
  </si>
  <si>
    <t>3870 S. Quartz Street</t>
  </si>
  <si>
    <t>ACES-Gilbert</t>
  </si>
  <si>
    <t>Catering Manager</t>
  </si>
  <si>
    <t>55 N. Greenfield Rd</t>
  </si>
  <si>
    <t>Scottsdale Unified District</t>
  </si>
  <si>
    <t>Patti</t>
  </si>
  <si>
    <t>Bilbrey</t>
  </si>
  <si>
    <t>Director, Nutrition Services</t>
  </si>
  <si>
    <t>pbilbrey@susd.org</t>
  </si>
  <si>
    <t>701 N. Miller Rd</t>
  </si>
  <si>
    <t>Scottsdale</t>
  </si>
  <si>
    <t>Emmy Clarke</t>
  </si>
  <si>
    <t>Director - Nutrition Services</t>
  </si>
  <si>
    <t>9451 N 84th St</t>
  </si>
  <si>
    <t>Tavan Elementary School</t>
  </si>
  <si>
    <t>4610 E. Osborn Road</t>
  </si>
  <si>
    <t>Kiva Elementary School</t>
  </si>
  <si>
    <t>6911 E. McDonald Drive</t>
  </si>
  <si>
    <t>Echo Canyon K-8</t>
  </si>
  <si>
    <t>4330 N 62nd St</t>
  </si>
  <si>
    <t>Tonalea K-8</t>
  </si>
  <si>
    <t>6720 E Continental Drive</t>
  </si>
  <si>
    <t>701 N. MIller Rd</t>
  </si>
  <si>
    <t>8330 E Osborn Road</t>
  </si>
  <si>
    <t>Hopi Elementary School</t>
  </si>
  <si>
    <t>5110 E Lafayette Blvd</t>
  </si>
  <si>
    <t>Navajo Elementary School</t>
  </si>
  <si>
    <t>Director- Nutrition Services</t>
  </si>
  <si>
    <t>4525 N. Granite Reef Road</t>
  </si>
  <si>
    <t>Hohokam Elementary School</t>
  </si>
  <si>
    <t>8451 E. Oak Street</t>
  </si>
  <si>
    <t>Yavapai Elementary School</t>
  </si>
  <si>
    <t>Pueblo Elementary School</t>
  </si>
  <si>
    <t>6320 N. 82nd Street</t>
  </si>
  <si>
    <t>Cherokee Elementary School</t>
  </si>
  <si>
    <t>8801 N 56th St</t>
  </si>
  <si>
    <t>Paradise Valley</t>
  </si>
  <si>
    <t>Laguna Elementary School</t>
  </si>
  <si>
    <t>10475 E Lakeview Dr</t>
  </si>
  <si>
    <t>Sequoya Elementary School</t>
  </si>
  <si>
    <t>11808 N 64 th St.</t>
  </si>
  <si>
    <t>Redfield Elementary School</t>
  </si>
  <si>
    <t>9181 E. Refield Road</t>
  </si>
  <si>
    <t>Cheyenne Traditional School</t>
  </si>
  <si>
    <t>13636 N. 100th St</t>
  </si>
  <si>
    <t>Desert Canyon Middle School</t>
  </si>
  <si>
    <t>10203 E. McDowell Mountain Ranch Rd</t>
  </si>
  <si>
    <t>Ingleside Middle School</t>
  </si>
  <si>
    <t>5402 E Osborn Rd</t>
  </si>
  <si>
    <t>Mountainside Middle School</t>
  </si>
  <si>
    <t>11256 N. 128 th St.</t>
  </si>
  <si>
    <t>Mohave Middle School</t>
  </si>
  <si>
    <t>5520 N 86th St</t>
  </si>
  <si>
    <t>Cocopah Middle School</t>
  </si>
  <si>
    <t>6615 E. Cholla St</t>
  </si>
  <si>
    <t>Arcadia High School</t>
  </si>
  <si>
    <t>701 N. Miller</t>
  </si>
  <si>
    <t>4703 E. Indian School Road</t>
  </si>
  <si>
    <t>Coronado High School</t>
  </si>
  <si>
    <t>Bibrey</t>
  </si>
  <si>
    <t>7501 E. Virginia Ave.</t>
  </si>
  <si>
    <t>Saguaro High School</t>
  </si>
  <si>
    <t>6250 N. 82nd Street</t>
  </si>
  <si>
    <t>Chaparral High School</t>
  </si>
  <si>
    <t>6935 E. Gold Dust Ave.</t>
  </si>
  <si>
    <t>Desert Mountain High School</t>
  </si>
  <si>
    <t>12575 E. Via Linda</t>
  </si>
  <si>
    <t>Anasazi Elementary</t>
  </si>
  <si>
    <t>701 N. Miller Rd.</t>
  </si>
  <si>
    <t>12121 N. 124th Street</t>
  </si>
  <si>
    <t>Desert Canyon Elementary</t>
  </si>
  <si>
    <t>10203 E. McDowell Mountain Ranch Rd.</t>
  </si>
  <si>
    <t>Copper Ridge School</t>
  </si>
  <si>
    <t>10101 E. Thompson Peak Pkwy</t>
  </si>
  <si>
    <t>Paradise Valley Unified District</t>
  </si>
  <si>
    <t>Camille</t>
  </si>
  <si>
    <t>Soule</t>
  </si>
  <si>
    <t>Director of Nutrition and Wellness</t>
  </si>
  <si>
    <t>csoule@pvschools.net</t>
  </si>
  <si>
    <t>20621 N. 32nd St.</t>
  </si>
  <si>
    <t>Roadrunner School</t>
  </si>
  <si>
    <t>Rana</t>
  </si>
  <si>
    <t>Elia</t>
  </si>
  <si>
    <t>rsrogers@pvschools.net</t>
  </si>
  <si>
    <t>3540 E. Cholla St.</t>
  </si>
  <si>
    <t>Arrowhead Elementary School</t>
  </si>
  <si>
    <t>MaryAnn</t>
  </si>
  <si>
    <t>Shuttle</t>
  </si>
  <si>
    <t>srogers@pvschools.net</t>
  </si>
  <si>
    <t>20621 N. 32nd. St</t>
  </si>
  <si>
    <t>3820 E. Nisbet Rd.</t>
  </si>
  <si>
    <t>Campo Bello Elementary School</t>
  </si>
  <si>
    <t>Miracle</t>
  </si>
  <si>
    <t>2650 E. Contention Mine</t>
  </si>
  <si>
    <t>North Ranch Elementary School</t>
  </si>
  <si>
    <t>Moore</t>
  </si>
  <si>
    <t>16406 N. 61st Pl.</t>
  </si>
  <si>
    <t>Eagle Ridge Elementary School</t>
  </si>
  <si>
    <t>Sue</t>
  </si>
  <si>
    <t>Hasse</t>
  </si>
  <si>
    <t>19801 N. 13th St.</t>
  </si>
  <si>
    <t>Hidden Hills Elementary School</t>
  </si>
  <si>
    <t>Maisaa</t>
  </si>
  <si>
    <t>Tanous</t>
  </si>
  <si>
    <t>1919 E. Sharon</t>
  </si>
  <si>
    <t>Desert Cove Elementary School</t>
  </si>
  <si>
    <t>Laura</t>
  </si>
  <si>
    <t>Vanderdrink</t>
  </si>
  <si>
    <t>11020 N. 28th St.</t>
  </si>
  <si>
    <t>Quail Run Elementary School</t>
  </si>
  <si>
    <t>Carolina</t>
  </si>
  <si>
    <t>SanchezLopez</t>
  </si>
  <si>
    <t>3303 E. Utopia</t>
  </si>
  <si>
    <t>Cactus View Elementary School</t>
  </si>
  <si>
    <t>Siurave</t>
  </si>
  <si>
    <t>Vasquez</t>
  </si>
  <si>
    <t>17602 N. Central Ave.</t>
  </si>
  <si>
    <t>Copper Canyon Elementary School</t>
  </si>
  <si>
    <t>Cynthia</t>
  </si>
  <si>
    <t>Cannizzaro</t>
  </si>
  <si>
    <t>17650 N. 54th St.</t>
  </si>
  <si>
    <t>Sonoran Sky Elementary School</t>
  </si>
  <si>
    <t>Esmeralda</t>
  </si>
  <si>
    <t>Torres</t>
  </si>
  <si>
    <t>12990 N. 75th St.</t>
  </si>
  <si>
    <t>Desert Shadows Elementary School</t>
  </si>
  <si>
    <t>Darin</t>
  </si>
  <si>
    <t>Eshak</t>
  </si>
  <si>
    <t>5902 E. Sweetwater</t>
  </si>
  <si>
    <t>Indian Bend Elementary School</t>
  </si>
  <si>
    <t>Penar</t>
  </si>
  <si>
    <t>Fakhradeen</t>
  </si>
  <si>
    <t>3633 E. Thunderbird Rd.</t>
  </si>
  <si>
    <t>Desert Trails Elementary School</t>
  </si>
  <si>
    <t>Martha</t>
  </si>
  <si>
    <t>Sanchez</t>
  </si>
  <si>
    <t>4315 E Cashman Dr.</t>
  </si>
  <si>
    <t>Whispering Wind Academy</t>
  </si>
  <si>
    <t>15844 N. 43rd St.</t>
  </si>
  <si>
    <t>Larkspur Elementary School</t>
  </si>
  <si>
    <t>Jessica</t>
  </si>
  <si>
    <t>Downey</t>
  </si>
  <si>
    <t>2430 E. Larkspur</t>
  </si>
  <si>
    <t>Liberty Elementary School</t>
  </si>
  <si>
    <t>Paula</t>
  </si>
  <si>
    <t>Hufford</t>
  </si>
  <si>
    <t>5020 E. Acoma</t>
  </si>
  <si>
    <t>Boulder Creek Elementary School</t>
  </si>
  <si>
    <t>Carmen</t>
  </si>
  <si>
    <t>Hassa</t>
  </si>
  <si>
    <t>22801 N. 22nd St.</t>
  </si>
  <si>
    <t>Mercury Mine Elementary School</t>
  </si>
  <si>
    <t>Fadi</t>
  </si>
  <si>
    <t>9640 N. 28th St.</t>
  </si>
  <si>
    <t>Echo Mountain Primary School</t>
  </si>
  <si>
    <t>Frances</t>
  </si>
  <si>
    <t>Quintana</t>
  </si>
  <si>
    <t>1811 E. Michigan, Suite 3</t>
  </si>
  <si>
    <t>Palomino Primary School</t>
  </si>
  <si>
    <t>Karla</t>
  </si>
  <si>
    <t>LopezPesqueira</t>
  </si>
  <si>
    <t>15833 N. 29th St.</t>
  </si>
  <si>
    <t>Sandpiper Elementary School</t>
  </si>
  <si>
    <t>Kim</t>
  </si>
  <si>
    <t>Lockett</t>
  </si>
  <si>
    <t>6724 E. Hearn</t>
  </si>
  <si>
    <t>Aire Libre Elementary School</t>
  </si>
  <si>
    <t>Viramontes</t>
  </si>
  <si>
    <t>16428 N. 21st St.</t>
  </si>
  <si>
    <t>Desert Springs Preparatory Elementary School</t>
  </si>
  <si>
    <t>Felipe</t>
  </si>
  <si>
    <t>6010 E. Acoma</t>
  </si>
  <si>
    <t>Desert Shadows Middle School</t>
  </si>
  <si>
    <t>Speciale</t>
  </si>
  <si>
    <t>5858 E. Sweetwater</t>
  </si>
  <si>
    <t>Vista Verde Middle School</t>
  </si>
  <si>
    <t>Mirtha</t>
  </si>
  <si>
    <t>Diaz</t>
  </si>
  <si>
    <t>2826 E. Grovers</t>
  </si>
  <si>
    <t>Greenway Middle School</t>
  </si>
  <si>
    <t>Abir</t>
  </si>
  <si>
    <t>Ishak</t>
  </si>
  <si>
    <t>3002 E. Nisbet Rd.</t>
  </si>
  <si>
    <t>Explorer Middle School</t>
  </si>
  <si>
    <t>Linda</t>
  </si>
  <si>
    <t>Stephens</t>
  </si>
  <si>
    <t>22401 N. 40th St.</t>
  </si>
  <si>
    <t>Sunrise Middle School</t>
  </si>
  <si>
    <t>Elisa</t>
  </si>
  <si>
    <t>Millsap</t>
  </si>
  <si>
    <t>4960 E. Acoma</t>
  </si>
  <si>
    <t>Shea Middle School</t>
  </si>
  <si>
    <t>Russell</t>
  </si>
  <si>
    <t>2728 E. Shea Blvd.</t>
  </si>
  <si>
    <t>Paradise Valley High School</t>
  </si>
  <si>
    <t>Nessreen</t>
  </si>
  <si>
    <t>Khlaifat</t>
  </si>
  <si>
    <t>Central Kitchen Manager</t>
  </si>
  <si>
    <t>3950 E. Bell Rd.</t>
  </si>
  <si>
    <t>Horizon High School</t>
  </si>
  <si>
    <t>Van</t>
  </si>
  <si>
    <t>Simkins</t>
  </si>
  <si>
    <t>5601 E. Greenway Rd.</t>
  </si>
  <si>
    <t>North Canyon High School</t>
  </si>
  <si>
    <t>Maurice</t>
  </si>
  <si>
    <t>Girard</t>
  </si>
  <si>
    <t>1700 E. Union Hills</t>
  </si>
  <si>
    <t>Shadow Mountain High School</t>
  </si>
  <si>
    <t>Whitaker</t>
  </si>
  <si>
    <t>2902 E. Shea Blvd.</t>
  </si>
  <si>
    <t>Grayhawk Elementary School</t>
  </si>
  <si>
    <t>Mauk</t>
  </si>
  <si>
    <t>7525 E. Grayhawk</t>
  </si>
  <si>
    <t>Sunset Canyon School</t>
  </si>
  <si>
    <t>Jeanne</t>
  </si>
  <si>
    <t>Eid</t>
  </si>
  <si>
    <t>2727 E. Siesta Ln.</t>
  </si>
  <si>
    <t>Pinnacle High School</t>
  </si>
  <si>
    <t>Lina</t>
  </si>
  <si>
    <t>Dilanchian</t>
  </si>
  <si>
    <t>3535 E. Mayo Blvd.</t>
  </si>
  <si>
    <t>Mountain Trail Middle School</t>
  </si>
  <si>
    <t>Tamara</t>
  </si>
  <si>
    <t>Voytovich</t>
  </si>
  <si>
    <t>2323 E. Mountain Gate Pass</t>
  </si>
  <si>
    <t>Pinnacle Peak Preparatory</t>
  </si>
  <si>
    <t>Nancy</t>
  </si>
  <si>
    <t>Valenza</t>
  </si>
  <si>
    <t>7690 E. Williams Dr.</t>
  </si>
  <si>
    <t>Echo Mountain Intermediate School</t>
  </si>
  <si>
    <t>Hamilton</t>
  </si>
  <si>
    <t>1811 E. Michigan, Suite 6</t>
  </si>
  <si>
    <t>Palomino Intermediate School</t>
  </si>
  <si>
    <t>Veronica</t>
  </si>
  <si>
    <t>15815 N. 29th St.</t>
  </si>
  <si>
    <t>Wildfire Elementary School</t>
  </si>
  <si>
    <t>Dulce</t>
  </si>
  <si>
    <t>3997 E. Lockwood Dr.</t>
  </si>
  <si>
    <t>Fireside Elementary School</t>
  </si>
  <si>
    <t>Kathy</t>
  </si>
  <si>
    <t>DeNoyer</t>
  </si>
  <si>
    <t>3725 E. Lone Cactus Dr.</t>
  </si>
  <si>
    <t>Sweetwater Community School</t>
  </si>
  <si>
    <t>Maricela</t>
  </si>
  <si>
    <t>Beltran</t>
  </si>
  <si>
    <t>4215 E. Andora Drive</t>
  </si>
  <si>
    <t>Chandler Unified District #80</t>
  </si>
  <si>
    <t>Audri</t>
  </si>
  <si>
    <t>Knutson</t>
  </si>
  <si>
    <t>Assistant Director</t>
  </si>
  <si>
    <t>knutson.audri@cusd80.com</t>
  </si>
  <si>
    <t>555 S. Pennington</t>
  </si>
  <si>
    <t>1525 W. Frye Road</t>
  </si>
  <si>
    <t>Willis Junior High School</t>
  </si>
  <si>
    <t>Dorothy</t>
  </si>
  <si>
    <t>Gall</t>
  </si>
  <si>
    <t>gall.dorothy@cusd80.com</t>
  </si>
  <si>
    <t>401 S. McQueen Road</t>
  </si>
  <si>
    <t>San Marcos Elementary School</t>
  </si>
  <si>
    <t>451 W. Frye Road</t>
  </si>
  <si>
    <t>Galveston Elementary School</t>
  </si>
  <si>
    <t>661 E. Galveston Street</t>
  </si>
  <si>
    <t>Hartford Sylvia Encinas Elementary</t>
  </si>
  <si>
    <t>700 N. Hartford Street</t>
  </si>
  <si>
    <t>Knox Gifted Academy</t>
  </si>
  <si>
    <t>700 W. Orchid Lane</t>
  </si>
  <si>
    <t>Frye Elementary School</t>
  </si>
  <si>
    <t>801 E. Frye Road</t>
  </si>
  <si>
    <t>Anna Marie Jacobson  Elementary School</t>
  </si>
  <si>
    <t>1515 NW Jacaranda Pkwy.</t>
  </si>
  <si>
    <t>Sanborn Elementary School</t>
  </si>
  <si>
    <t>700 N. Superstition Blvd.</t>
  </si>
  <si>
    <t>Chandler Traditional Academy - Goodman</t>
  </si>
  <si>
    <t>2600 W. Knox Road</t>
  </si>
  <si>
    <t>Weinberg Elementary School</t>
  </si>
  <si>
    <t>5245 S. Val Vista Dr.</t>
  </si>
  <si>
    <t>John M Andersen Elementary School</t>
  </si>
  <si>
    <t>1350 N. Pennington Street</t>
  </si>
  <si>
    <t>Chandler Traditional Academy-Humphrey</t>
  </si>
  <si>
    <t>125 S. 132nd Street</t>
  </si>
  <si>
    <t>John M Andersen Jr High School</t>
  </si>
  <si>
    <t>1255 N. Dobson Road</t>
  </si>
  <si>
    <t>Shumway Leadership Academy</t>
  </si>
  <si>
    <t>1325 N. Shumway Avenue</t>
  </si>
  <si>
    <t>Bogle Junior High School</t>
  </si>
  <si>
    <t>1600 W. Queen Creek</t>
  </si>
  <si>
    <t>Dr Howard K Conley Elementary School</t>
  </si>
  <si>
    <t>500 S. Arrowhead Drive</t>
  </si>
  <si>
    <t>Chandler High School</t>
  </si>
  <si>
    <t>350 N. Arizona Avenue</t>
  </si>
  <si>
    <t>Rudy G Bologna Elementary</t>
  </si>
  <si>
    <t>1625 E. Frye Road</t>
  </si>
  <si>
    <t>Robert and Danell Tarwater Elementary</t>
  </si>
  <si>
    <t>Adminstrative Assistant</t>
  </si>
  <si>
    <t>2300 S. Gardner</t>
  </si>
  <si>
    <t>Hamilton High School</t>
  </si>
  <si>
    <t>3700 S. Arizona Avenue</t>
  </si>
  <si>
    <t>Basha Elementary</t>
  </si>
  <si>
    <t>3535 S. Basha Road</t>
  </si>
  <si>
    <t>Basha High School</t>
  </si>
  <si>
    <t>5990 S. Val Vista Drive</t>
  </si>
  <si>
    <t>Santan Junior High School</t>
  </si>
  <si>
    <t>1550 E. Chandler Heights Rd.</t>
  </si>
  <si>
    <t>T. Dale Hancock Elementary School</t>
  </si>
  <si>
    <t>2425 S. Pleasant Drive</t>
  </si>
  <si>
    <t>Navarrete Elementary</t>
  </si>
  <si>
    <t>6490 S. Sun Groves Blvd.</t>
  </si>
  <si>
    <t>Jane D. Hull Elementary</t>
  </si>
  <si>
    <t>2424 E. Maren Drive</t>
  </si>
  <si>
    <t>Chandler Traditional Academy - Liberty Campus</t>
  </si>
  <si>
    <t>550 N. Emmett Dr.</t>
  </si>
  <si>
    <t>Chandler Traditional Academy-Freedom</t>
  </si>
  <si>
    <t>6040 S. Joslyn Lane</t>
  </si>
  <si>
    <t>Audrey &amp; Robert Ryan Elementary</t>
  </si>
  <si>
    <t>4600 S. Bright Angel Way</t>
  </si>
  <si>
    <t>Willie &amp; Coy Payne Jr. High</t>
  </si>
  <si>
    <t>7655 S. Higley Road</t>
  </si>
  <si>
    <t>Queen Creek</t>
  </si>
  <si>
    <t>Santan Elementary</t>
  </si>
  <si>
    <t>1550 E. Chandler Heights Road</t>
  </si>
  <si>
    <t>Chandler Traditional Academy - Independence</t>
  </si>
  <si>
    <t>1405 West Lake Drive</t>
  </si>
  <si>
    <t>Riggs Elementary</t>
  </si>
  <si>
    <t>6930 S. Seville Blvd. W.</t>
  </si>
  <si>
    <t>Ira A. Fulton Elementary</t>
  </si>
  <si>
    <t>4750 S. Sunland Drive</t>
  </si>
  <si>
    <t>Arizona College Prep Erie Campus</t>
  </si>
  <si>
    <t>1150 W. Erie Street</t>
  </si>
  <si>
    <t>Perry High School</t>
  </si>
  <si>
    <t>1919 E. Queen Creek Rd</t>
  </si>
  <si>
    <t>Haley Elementary</t>
  </si>
  <si>
    <t>3401 S. Layton Lakes Blvd.</t>
  </si>
  <si>
    <t>Charlotte Patterson Elementary</t>
  </si>
  <si>
    <t>7520 S. Adora Blvd.</t>
  </si>
  <si>
    <t>Ken 'Chief' Hill Learning Academy</t>
  </si>
  <si>
    <t>290 S. Cooper Road</t>
  </si>
  <si>
    <t>Arizona College Prep Oakland Campus</t>
  </si>
  <si>
    <t>191 W. Oakland Street</t>
  </si>
  <si>
    <t>John &amp; Carol Carlson Elementary</t>
  </si>
  <si>
    <t>5400 S. White Drive</t>
  </si>
  <si>
    <t>Dr. Gary and Annette Auxier Elementary School</t>
  </si>
  <si>
    <t>22700 S. Power Road</t>
  </si>
  <si>
    <t>Dr. Camille Casteel High School</t>
  </si>
  <si>
    <t>24901 S. Power Road</t>
  </si>
  <si>
    <t>Dysart Unified District</t>
  </si>
  <si>
    <t>JoAnna</t>
  </si>
  <si>
    <t>Broady</t>
  </si>
  <si>
    <t>Nutrition Liaison</t>
  </si>
  <si>
    <t>joanna.broady@dysart.org</t>
  </si>
  <si>
    <t>13825 W. Desert Cove Road</t>
  </si>
  <si>
    <t>Nutrition Services</t>
  </si>
  <si>
    <t>Surprise</t>
  </si>
  <si>
    <t>Dysart Elementary School</t>
  </si>
  <si>
    <t>Angela</t>
  </si>
  <si>
    <t>angela.martinez@dysart.org</t>
  </si>
  <si>
    <t>12950 W. Varney Rd</t>
  </si>
  <si>
    <t>El Mirage</t>
  </si>
  <si>
    <t>El Mirage School</t>
  </si>
  <si>
    <t>Olga</t>
  </si>
  <si>
    <t>Flores</t>
  </si>
  <si>
    <t>olga.flores@dysart.org</t>
  </si>
  <si>
    <t>13500 North El Mirage Road</t>
  </si>
  <si>
    <t>Luke Elementary School</t>
  </si>
  <si>
    <t>Gaby</t>
  </si>
  <si>
    <t>Cortes</t>
  </si>
  <si>
    <t>Gaby.cortes@dysart.org</t>
  </si>
  <si>
    <t>7300 N. Dysart Rd.</t>
  </si>
  <si>
    <t>Surprise Elementary School</t>
  </si>
  <si>
    <t>Garza</t>
  </si>
  <si>
    <t>elizabeth.garza@dysart.org</t>
  </si>
  <si>
    <t>12907 W. Greenway Rd.</t>
  </si>
  <si>
    <t>Kingswood Elementary School</t>
  </si>
  <si>
    <t>Denise</t>
  </si>
  <si>
    <t>denise.hanson@dysart.org</t>
  </si>
  <si>
    <t>15150 W Mondell Road</t>
  </si>
  <si>
    <t>Dysart High School</t>
  </si>
  <si>
    <t>Caryn</t>
  </si>
  <si>
    <t>Helton</t>
  </si>
  <si>
    <t>caryn.helton@dysart.org</t>
  </si>
  <si>
    <t>11425 N. Dysart Rd.</t>
  </si>
  <si>
    <t>West Point Elementary School</t>
  </si>
  <si>
    <t>13700 W. Greenway Rd</t>
  </si>
  <si>
    <t>Countryside Elementary School</t>
  </si>
  <si>
    <t>Lucila</t>
  </si>
  <si>
    <t>Santacruz</t>
  </si>
  <si>
    <t>lucila.santacruz@dysart.org</t>
  </si>
  <si>
    <t>15034 N. Parkview Pl</t>
  </si>
  <si>
    <t>Ashton Ranch Elementary School</t>
  </si>
  <si>
    <t>Alex</t>
  </si>
  <si>
    <t>Arreola</t>
  </si>
  <si>
    <t>alex.arreola@dysart.org</t>
  </si>
  <si>
    <t>14898 W Acoma Drive</t>
  </si>
  <si>
    <t>Cimarron Springs Elementary</t>
  </si>
  <si>
    <t>Gaytan</t>
  </si>
  <si>
    <t>veronica.gaytan@dysart.org</t>
  </si>
  <si>
    <t>17032 W.Surprise Farms Loop South</t>
  </si>
  <si>
    <t>Willow Canyon High School</t>
  </si>
  <si>
    <t>Madonna</t>
  </si>
  <si>
    <t>Max</t>
  </si>
  <si>
    <t>madonna.max@dysart.org</t>
  </si>
  <si>
    <t>17901 W. Lundburg St.</t>
  </si>
  <si>
    <t>Marley Park Elementary</t>
  </si>
  <si>
    <t>Dora</t>
  </si>
  <si>
    <t>Mendivil</t>
  </si>
  <si>
    <t>dora.mendivil@dysart.org</t>
  </si>
  <si>
    <t>15042 W. Sweetwater Road</t>
  </si>
  <si>
    <t>Thompson Ranch Elementary</t>
  </si>
  <si>
    <t>Elsa</t>
  </si>
  <si>
    <t>Espinoza</t>
  </si>
  <si>
    <t>elsa.espinoza@dysart.org</t>
  </si>
  <si>
    <t>11800 W.Thompson Ranch</t>
  </si>
  <si>
    <t>Sunset Hills Elementary</t>
  </si>
  <si>
    <t>Carter</t>
  </si>
  <si>
    <t>Lisa.Carter@dysart.org</t>
  </si>
  <si>
    <t>17825 W. Sierra Montana Loop</t>
  </si>
  <si>
    <t>Rancho Gabriela</t>
  </si>
  <si>
    <t>annette.hamilton@dysart.org</t>
  </si>
  <si>
    <t>15272 W. Gabriela Drive</t>
  </si>
  <si>
    <t>Sonoran Heights Elementary</t>
  </si>
  <si>
    <t>Mary</t>
  </si>
  <si>
    <t>Magana</t>
  </si>
  <si>
    <t>mary.magana@dysart.org</t>
  </si>
  <si>
    <t>11405 N Greer Ranch Parkway</t>
  </si>
  <si>
    <t>Western Peaks Elementary</t>
  </si>
  <si>
    <t>April</t>
  </si>
  <si>
    <t>Gutierrez</t>
  </si>
  <si>
    <t>april.gutierrez@dysart.org</t>
  </si>
  <si>
    <t>18063 W Surprise Farms Loop South</t>
  </si>
  <si>
    <t>Parkview Elementary</t>
  </si>
  <si>
    <t>Ernestina</t>
  </si>
  <si>
    <t>ernestina.nunez@dysart.org</t>
  </si>
  <si>
    <t>16066 N Parkview Place</t>
  </si>
  <si>
    <t>Valley Vista High School</t>
  </si>
  <si>
    <t>Robert</t>
  </si>
  <si>
    <t>March</t>
  </si>
  <si>
    <t>robert.march@dysart.org</t>
  </si>
  <si>
    <t>15550 North Parkview Place</t>
  </si>
  <si>
    <t>Canyon Ridge School</t>
  </si>
  <si>
    <t>Erlinda</t>
  </si>
  <si>
    <t>erlinda.garcia@dysart.org</t>
  </si>
  <si>
    <t>17359 W Surprise Farms Loop North</t>
  </si>
  <si>
    <t>Mountain View</t>
  </si>
  <si>
    <t>Garrick</t>
  </si>
  <si>
    <t>Michelle.garrick@dysart.org</t>
  </si>
  <si>
    <t>18302 W Burton Avenue</t>
  </si>
  <si>
    <t>Waddell</t>
  </si>
  <si>
    <t>Riverview School</t>
  </si>
  <si>
    <t>Hernandez</t>
  </si>
  <si>
    <t>sarah.hernandez@dysart.org</t>
  </si>
  <si>
    <t>12701 North Main Street</t>
  </si>
  <si>
    <t>Shadow Ridge High School</t>
  </si>
  <si>
    <t>Angie</t>
  </si>
  <si>
    <t>Sumeta</t>
  </si>
  <si>
    <t>angie.sumeta@dysart.org</t>
  </si>
  <si>
    <t>10909 N. Perryville Road</t>
  </si>
  <si>
    <t>Cave Creek Unified District</t>
  </si>
  <si>
    <t>Shanon</t>
  </si>
  <si>
    <t>Quinn</t>
  </si>
  <si>
    <t>CN Director</t>
  </si>
  <si>
    <t>squinn@ccusd93.org</t>
  </si>
  <si>
    <t>P.O. Box 426</t>
  </si>
  <si>
    <t>Cave Creek</t>
  </si>
  <si>
    <t>33016 N 60th Strret</t>
  </si>
  <si>
    <t>Black Mountain Elementary School</t>
  </si>
  <si>
    <t>33016 N. 60th St.</t>
  </si>
  <si>
    <t>Desert Sun Academy</t>
  </si>
  <si>
    <t>27880 N. 64th St.</t>
  </si>
  <si>
    <t>Cactus Shadows High School</t>
  </si>
  <si>
    <t>5802 E. Dove Valley Road</t>
  </si>
  <si>
    <t>Sonoran Trails Middle School</t>
  </si>
  <si>
    <t>5555 E Pinnacle Vista Dr</t>
  </si>
  <si>
    <t>Desert Willow Elementary School</t>
  </si>
  <si>
    <t>4322 E. Desert Willow Parkway</t>
  </si>
  <si>
    <t>Lone Mountain Elementary School</t>
  </si>
  <si>
    <t>5250 E. Montgomery</t>
  </si>
  <si>
    <t>Horseshoe Trails Elementary School</t>
  </si>
  <si>
    <t>5405 E. Pinnacle Vista Dr.</t>
  </si>
  <si>
    <t>Queen Creek Unified District</t>
  </si>
  <si>
    <t>Dustin</t>
  </si>
  <si>
    <t>Walker</t>
  </si>
  <si>
    <t>Director of Child Nutrition</t>
  </si>
  <si>
    <t>dwalker2@qcusd.org</t>
  </si>
  <si>
    <t>20217 E Chandler Heights Rd</t>
  </si>
  <si>
    <t>Queen Creek Elementary School</t>
  </si>
  <si>
    <t>JoAnn</t>
  </si>
  <si>
    <t>Child Nutrition Cafeteria Manager</t>
  </si>
  <si>
    <t>jmaxwell2@qcusd.org</t>
  </si>
  <si>
    <t>23636 S. 204th St.</t>
  </si>
  <si>
    <t>Desert Mountain Elementary</t>
  </si>
  <si>
    <t>Betsy</t>
  </si>
  <si>
    <t>Lannon</t>
  </si>
  <si>
    <t>blannon@qcusd.org</t>
  </si>
  <si>
    <t>22301 S. Hawes Rd.</t>
  </si>
  <si>
    <t>Queen Creek Middle School</t>
  </si>
  <si>
    <t>Diana</t>
  </si>
  <si>
    <t>Lackey</t>
  </si>
  <si>
    <t>dlackey@qcusd.org</t>
  </si>
  <si>
    <t>20435 S. Old Ellsworth Rd.</t>
  </si>
  <si>
    <t>Queen Creek High School</t>
  </si>
  <si>
    <t>Anglea</t>
  </si>
  <si>
    <t>Greco</t>
  </si>
  <si>
    <t>jburnap@qcusd.org</t>
  </si>
  <si>
    <t>22149 E Ocotillo Rd</t>
  </si>
  <si>
    <t>Jack Barnes Elementary School</t>
  </si>
  <si>
    <t>Jenna</t>
  </si>
  <si>
    <t>Snoke</t>
  </si>
  <si>
    <t>Child Nutrtion Cafeteria Manager</t>
  </si>
  <si>
    <t>jsnoke@qcusd.org</t>
  </si>
  <si>
    <t>20750 S. 214th St.</t>
  </si>
  <si>
    <t>Frances Brandon-Pickett Elementary</t>
  </si>
  <si>
    <t>Connie</t>
  </si>
  <si>
    <t>Mitchell</t>
  </si>
  <si>
    <t>cmitchell@qcusd.org</t>
  </si>
  <si>
    <t>22076 E. Village Loop Rd.</t>
  </si>
  <si>
    <t>Newell Barney Middle School</t>
  </si>
  <si>
    <t>Gale</t>
  </si>
  <si>
    <t>Swinford</t>
  </si>
  <si>
    <t>gswinford@qcusd.org</t>
  </si>
  <si>
    <t>24937 S Sossaman Rd</t>
  </si>
  <si>
    <t>Gateway Polytechnic Academy</t>
  </si>
  <si>
    <t>Bradford</t>
  </si>
  <si>
    <t>CN Manager</t>
  </si>
  <si>
    <t>mbradford@qcusd.org</t>
  </si>
  <si>
    <t>5149 S. Signal Butte</t>
  </si>
  <si>
    <t>Faith Mather Sossaman Elementary School</t>
  </si>
  <si>
    <t>Roger</t>
  </si>
  <si>
    <t>lroger@qcusd.org</t>
  </si>
  <si>
    <t>22801 E. Via Del Jardin</t>
  </si>
  <si>
    <t>Deer Valley Unified District</t>
  </si>
  <si>
    <t>Joan</t>
  </si>
  <si>
    <t>Chiarello</t>
  </si>
  <si>
    <t>joan.chiarello@dvusd.org</t>
  </si>
  <si>
    <t>21421 N. 21st Avenue</t>
  </si>
  <si>
    <t>Bldg. 2</t>
  </si>
  <si>
    <t>20402 N. 15th Avenue</t>
  </si>
  <si>
    <t>Temporary Assignment to Bekah McLeod</t>
  </si>
  <si>
    <t>Deer Valley Middle School</t>
  </si>
  <si>
    <t>Parker</t>
  </si>
  <si>
    <t>Linda.Parker@dvusd.org</t>
  </si>
  <si>
    <t>21100 N. 27th Ave.</t>
  </si>
  <si>
    <t>Cathy</t>
  </si>
  <si>
    <t>Weedman</t>
  </si>
  <si>
    <t>Catherine.Weedman@dvusd.org</t>
  </si>
  <si>
    <t>2020 W. Morningside Drive</t>
  </si>
  <si>
    <t>New River Elementary School</t>
  </si>
  <si>
    <t>Judi</t>
  </si>
  <si>
    <t>Fogelsong</t>
  </si>
  <si>
    <t>Judi.Fogelsong@dvusd.org</t>
  </si>
  <si>
    <t>48827 N. Black Canyon Hwy.</t>
  </si>
  <si>
    <t>New River</t>
  </si>
  <si>
    <t>Park Meadows Elementary School</t>
  </si>
  <si>
    <t>Julie</t>
  </si>
  <si>
    <t>Pruitt</t>
  </si>
  <si>
    <t>Julie.Pruitt@dvusd.org</t>
  </si>
  <si>
    <t>20012 N. 35th Ave</t>
  </si>
  <si>
    <t>Constitution Elementary School</t>
  </si>
  <si>
    <t>Guzman</t>
  </si>
  <si>
    <t>Martha.Guzman@dvusd.org</t>
  </si>
  <si>
    <t>18440 N. 15th Ave.</t>
  </si>
  <si>
    <t>Sunrise Elementary School</t>
  </si>
  <si>
    <t>Colleen</t>
  </si>
  <si>
    <t>Mortensen</t>
  </si>
  <si>
    <t>Colleen.Mortensen@dvusd.org</t>
  </si>
  <si>
    <t>17624 N. 31st Ave.</t>
  </si>
  <si>
    <t>Mirage Elementary School</t>
  </si>
  <si>
    <t>Pamela</t>
  </si>
  <si>
    <t>Peters</t>
  </si>
  <si>
    <t>Pamela.Peters@dvusd.org</t>
  </si>
  <si>
    <t>3910 W. Grovers</t>
  </si>
  <si>
    <t>Desert Sky Middle School</t>
  </si>
  <si>
    <t>Tamera</t>
  </si>
  <si>
    <t>Winn</t>
  </si>
  <si>
    <t>Tamera.Winn@dvusd.org</t>
  </si>
  <si>
    <t>5130 W. Grovers</t>
  </si>
  <si>
    <t>Bellair Elementary School</t>
  </si>
  <si>
    <t>Sheila</t>
  </si>
  <si>
    <t>Munn</t>
  </si>
  <si>
    <t>Sheila.Munn@dvusd.org</t>
  </si>
  <si>
    <t>4701 W. Grovers Ave.</t>
  </si>
  <si>
    <t>Greenbrier Elementary School</t>
  </si>
  <si>
    <t>6150 W. Greenbrier</t>
  </si>
  <si>
    <t>Mountain Shadows Elementary School</t>
  </si>
  <si>
    <t>Renee</t>
  </si>
  <si>
    <t>Ebright</t>
  </si>
  <si>
    <t>Renee.Ebright@dvusd.org</t>
  </si>
  <si>
    <t>19602 N. 45th Ave.</t>
  </si>
  <si>
    <t>Gretchen</t>
  </si>
  <si>
    <t>Forsley</t>
  </si>
  <si>
    <t>Gretchen.Forsley@dvusd.org</t>
  </si>
  <si>
    <t>7490 W. Union Hills</t>
  </si>
  <si>
    <t>Hillcrest Middle School</t>
  </si>
  <si>
    <t>Flagler</t>
  </si>
  <si>
    <t>Renee.Flagler@dvusd.org</t>
  </si>
  <si>
    <t>22833 N. 71st Ave.</t>
  </si>
  <si>
    <t>Desert Sage Elementary School</t>
  </si>
  <si>
    <t>4035 W. Alameda Dr.</t>
  </si>
  <si>
    <t>Esperanza Elementary School</t>
  </si>
  <si>
    <t>Catherine.Hamilton@dvusd.org</t>
  </si>
  <si>
    <t>251 W. Mohawk</t>
  </si>
  <si>
    <t>Las Brisas Elementary School</t>
  </si>
  <si>
    <t>Katie</t>
  </si>
  <si>
    <t>Primc</t>
  </si>
  <si>
    <t>Katie.Primc@dvusd.org</t>
  </si>
  <si>
    <t>5805 W. Alameda</t>
  </si>
  <si>
    <t>Desert Mountain School</t>
  </si>
  <si>
    <t>Foglesong</t>
  </si>
  <si>
    <t>Judi.Foglesong@dvusd.org</t>
  </si>
  <si>
    <t>35959 N. 7th Ave.</t>
  </si>
  <si>
    <t>Desert Hills</t>
  </si>
  <si>
    <t>Copper Creek Elementary School</t>
  </si>
  <si>
    <t>Mahle</t>
  </si>
  <si>
    <t>Chris.Mahle@dvusd.org</t>
  </si>
  <si>
    <t>7071 W. Hillcrest Blvd.</t>
  </si>
  <si>
    <t>Deer Valley High School</t>
  </si>
  <si>
    <t>Wamsley</t>
  </si>
  <si>
    <t>Elizabeth.Wamsley@dvusd.org</t>
  </si>
  <si>
    <t>18424 N. 51st Ave.</t>
  </si>
  <si>
    <t>Barry Goldwater High School</t>
  </si>
  <si>
    <t>Sharp</t>
  </si>
  <si>
    <t>Laura.Sharp@dvusd.org</t>
  </si>
  <si>
    <t>2820 W. Rose Garden Ln.</t>
  </si>
  <si>
    <t>Mountain Ridge High School</t>
  </si>
  <si>
    <t>Jamie</t>
  </si>
  <si>
    <t>Hunter</t>
  </si>
  <si>
    <t>Jamie.Hunter@dvusd.org</t>
  </si>
  <si>
    <t>22800 N. 67th Ave.</t>
  </si>
  <si>
    <t>Paseo Hills School</t>
  </si>
  <si>
    <t>Marie</t>
  </si>
  <si>
    <t>Durbin</t>
  </si>
  <si>
    <t>Marie.Durbin@dvusd.org</t>
  </si>
  <si>
    <t>3302 W. Louise Drive</t>
  </si>
  <si>
    <t>Highland Lakes School</t>
  </si>
  <si>
    <t>Patsy</t>
  </si>
  <si>
    <t>Favela</t>
  </si>
  <si>
    <t>Patsy.Favela@dvusd.org</t>
  </si>
  <si>
    <t>19000 N. 63rd. Ave.</t>
  </si>
  <si>
    <t>Anthem School</t>
  </si>
  <si>
    <t>Joshua</t>
  </si>
  <si>
    <t>Singleton</t>
  </si>
  <si>
    <t>Joshua.Singleton@dvusd.org</t>
  </si>
  <si>
    <t>41020 N.E. Freeedom Way</t>
  </si>
  <si>
    <t>Anthem</t>
  </si>
  <si>
    <t>Legend Springs Elementary</t>
  </si>
  <si>
    <t>24450 N. Arrowhead Loop Rd.</t>
  </si>
  <si>
    <t>Stetson Hills School</t>
  </si>
  <si>
    <t>25475 N. Stetson Hills Loop</t>
  </si>
  <si>
    <t>Sierra Verde STEAM Academy</t>
  </si>
  <si>
    <t>Jasperson</t>
  </si>
  <si>
    <t>Debbie.Jasperson@dvusd.org</t>
  </si>
  <si>
    <t>7241 W. Rose Garden Lane</t>
  </si>
  <si>
    <t>Sandra Day O'Connor High School</t>
  </si>
  <si>
    <t>Judy</t>
  </si>
  <si>
    <t>Kimball</t>
  </si>
  <si>
    <t>Judy.Kimball@dvusd.org</t>
  </si>
  <si>
    <t>25250 N. 35th Ave</t>
  </si>
  <si>
    <t>Gavilan Peak School</t>
  </si>
  <si>
    <t>Berry</t>
  </si>
  <si>
    <t>Paula.Berry@dvusd.org</t>
  </si>
  <si>
    <t>2701 Memorial Drive</t>
  </si>
  <si>
    <t>Terramar Academy of the Arts</t>
  </si>
  <si>
    <t>Wilhoit</t>
  </si>
  <si>
    <t>Michelle.Wilhoit@dvusd.org</t>
  </si>
  <si>
    <t>7000 W. Happy Valley Rd.</t>
  </si>
  <si>
    <t>Sunset Ridge School</t>
  </si>
  <si>
    <t>Grossman</t>
  </si>
  <si>
    <t>Milagros.Grossman@dvusd.org</t>
  </si>
  <si>
    <t>35707 N. 33rd. Ln.</t>
  </si>
  <si>
    <t>Boulder Creek High School</t>
  </si>
  <si>
    <t>Lorrie</t>
  </si>
  <si>
    <t>Ahern</t>
  </si>
  <si>
    <t>Lorrie.Ahern@dvusd.org</t>
  </si>
  <si>
    <t>40404 N. Gavilan Peak Parkway</t>
  </si>
  <si>
    <t>Diamond Canyon School</t>
  </si>
  <si>
    <t>Kathy.Gilbert@dvusd.org</t>
  </si>
  <si>
    <t>40004 N. Liberty Bell Way</t>
  </si>
  <si>
    <t>West Wing School</t>
  </si>
  <si>
    <t>LuAnne</t>
  </si>
  <si>
    <t>Kelley</t>
  </si>
  <si>
    <t>Luanne.Kelley@dvusd.org</t>
  </si>
  <si>
    <t>26716 N. High Desert Drive SW</t>
  </si>
  <si>
    <t>Canyon Springs STEM Academy</t>
  </si>
  <si>
    <t>Gail</t>
  </si>
  <si>
    <t>Kurtz</t>
  </si>
  <si>
    <t>Gail.Kurtz@dvusd.org</t>
  </si>
  <si>
    <t>42901 N 45th Ave</t>
  </si>
  <si>
    <t>Norterra Canyon School</t>
  </si>
  <si>
    <t>Vicki</t>
  </si>
  <si>
    <t>Polimeni</t>
  </si>
  <si>
    <t>Vicki.Polimeni@dvusd.org</t>
  </si>
  <si>
    <t>2200 W. Maya Way</t>
  </si>
  <si>
    <t>Vista Peak</t>
  </si>
  <si>
    <t>19825 N. 15th Ave.</t>
  </si>
  <si>
    <t>Sonoran Foothills School</t>
  </si>
  <si>
    <t>Cafetera Manager</t>
  </si>
  <si>
    <t>32150 N. North Foothills Drive</t>
  </si>
  <si>
    <t>Fountain Hills Unified District</t>
  </si>
  <si>
    <t>rallen@fhusd.org</t>
  </si>
  <si>
    <t>16000 E. Palisades Blvd.</t>
  </si>
  <si>
    <t>Fountain Hills</t>
  </si>
  <si>
    <t>McDowell Mountain Elementary School</t>
  </si>
  <si>
    <t>14825 N. Fayette</t>
  </si>
  <si>
    <t>Fountain Hills Middle School</t>
  </si>
  <si>
    <t>16000 E. Palisades Blvd</t>
  </si>
  <si>
    <t>15414 N. McDowell Mountain Rd</t>
  </si>
  <si>
    <t>Fountain Hills High School</t>
  </si>
  <si>
    <t>16100 E. Palisades Blvd.</t>
  </si>
  <si>
    <t>Higley Unified School District</t>
  </si>
  <si>
    <t>Cook</t>
  </si>
  <si>
    <t>Food Services Analyst</t>
  </si>
  <si>
    <t>rebecca.cook@husd.org</t>
  </si>
  <si>
    <t>Food Services</t>
  </si>
  <si>
    <t>2935 S. Recker Rd.</t>
  </si>
  <si>
    <t>Higley Traditional Academy</t>
  </si>
  <si>
    <t>Sonia</t>
  </si>
  <si>
    <t>Nadeem</t>
  </si>
  <si>
    <t>Cafe Manager</t>
  </si>
  <si>
    <t>htacafeteria@husd.org</t>
  </si>
  <si>
    <t>2935 S Recker Rd</t>
  </si>
  <si>
    <t>3391 E. Vest Avenue</t>
  </si>
  <si>
    <t>Ortiz</t>
  </si>
  <si>
    <t>Corcafeteria@husd.org</t>
  </si>
  <si>
    <t>4333 South De Anza Blvd.</t>
  </si>
  <si>
    <t>Higley High School</t>
  </si>
  <si>
    <t>Stillman</t>
  </si>
  <si>
    <t>HHSCafeteria@husd.org</t>
  </si>
  <si>
    <t>4068 E. Pecos Rd.</t>
  </si>
  <si>
    <t>San Tan Elementary</t>
  </si>
  <si>
    <t>Erica</t>
  </si>
  <si>
    <t>Avila</t>
  </si>
  <si>
    <t>SANcafeteria@husd.org</t>
  </si>
  <si>
    <t>3443 East Calistoga Drive</t>
  </si>
  <si>
    <t>Power Ranch Elementary</t>
  </si>
  <si>
    <t>pwrcafeteria@husd.org</t>
  </si>
  <si>
    <t>4351 South Ranch House Parkway</t>
  </si>
  <si>
    <t>Gateway Pointe Elementary</t>
  </si>
  <si>
    <t>Aline</t>
  </si>
  <si>
    <t>Haddad</t>
  </si>
  <si>
    <t>gwpcafeteria@husd.org</t>
  </si>
  <si>
    <t>Higley</t>
  </si>
  <si>
    <t>2069 S. De La Torre Drive</t>
  </si>
  <si>
    <t>Cortina Elementary</t>
  </si>
  <si>
    <t>Easton</t>
  </si>
  <si>
    <t>ctacafe@husd.org</t>
  </si>
  <si>
    <t>19680 S 188th Street</t>
  </si>
  <si>
    <t>Chaparral Elementary School</t>
  </si>
  <si>
    <t>Luz</t>
  </si>
  <si>
    <t>cafe manager</t>
  </si>
  <si>
    <t>chpcafe@husd.org</t>
  </si>
  <si>
    <t>3380 E. Frye Rd.</t>
  </si>
  <si>
    <t>Williams Field High School</t>
  </si>
  <si>
    <t>Tarrant</t>
  </si>
  <si>
    <t>wfhscafe@husd.org</t>
  </si>
  <si>
    <t>2076 S. Higley Rd.</t>
  </si>
  <si>
    <t>Centennial Elementary School</t>
  </si>
  <si>
    <t>Food Service</t>
  </si>
  <si>
    <t>cencafeteria@husd.org</t>
  </si>
  <si>
    <t>3507 S. Ranch House Parkway</t>
  </si>
  <si>
    <t>Elona P. Cooley Early Child Development Center</t>
  </si>
  <si>
    <t>Esquivel</t>
  </si>
  <si>
    <t>cmscafeteria@husd.org</t>
  </si>
  <si>
    <t>2935 S Recker Road</t>
  </si>
  <si>
    <t>1100 S Recker Rd</t>
  </si>
  <si>
    <t>Cooley Middle School</t>
  </si>
  <si>
    <t>1100 South Recker Road</t>
  </si>
  <si>
    <t>Sossaman Middle School</t>
  </si>
  <si>
    <t>Tracy</t>
  </si>
  <si>
    <t>Goff</t>
  </si>
  <si>
    <t>smscafeteria@husd.org</t>
  </si>
  <si>
    <t>18655 East Jacaranda Boulevard</t>
  </si>
  <si>
    <t>Sue Sossaman Early Childhood Development Center</t>
  </si>
  <si>
    <t>Bridges Elementary School</t>
  </si>
  <si>
    <t>Evelyn</t>
  </si>
  <si>
    <t>BRgcafeteria@husd.org</t>
  </si>
  <si>
    <t>5205 S Soboba St</t>
  </si>
  <si>
    <t>Aguila Elementary District</t>
  </si>
  <si>
    <t>Gareth</t>
  </si>
  <si>
    <t>gwilliams@aguilaschool.org</t>
  </si>
  <si>
    <t>P.O. Box 218</t>
  </si>
  <si>
    <t>Aguila</t>
  </si>
  <si>
    <t>50023 North 514th Ave</t>
  </si>
  <si>
    <t>Temporary Assignment to Lindsey Cler</t>
  </si>
  <si>
    <t>Aguila Elementary School</t>
  </si>
  <si>
    <t>Renelle</t>
  </si>
  <si>
    <t>Mucklow</t>
  </si>
  <si>
    <t>rmucklow@aguilaschool.org</t>
  </si>
  <si>
    <t>P O Box 218</t>
  </si>
  <si>
    <t>50023 N.51st Ave</t>
  </si>
  <si>
    <t>Sentinel Elementary District</t>
  </si>
  <si>
    <t>Maynes</t>
  </si>
  <si>
    <t>amaynes@sentinelesd71.org</t>
  </si>
  <si>
    <t>53802 W.  U.S.  HWY 80</t>
  </si>
  <si>
    <t>Sentinel AZ</t>
  </si>
  <si>
    <t>Dateland</t>
  </si>
  <si>
    <t>Sentinel Elementary School</t>
  </si>
  <si>
    <t>53802 W. US HWY 80</t>
  </si>
  <si>
    <t>Sentinel</t>
  </si>
  <si>
    <t>Morristown Elementary District</t>
  </si>
  <si>
    <t>Cushman</t>
  </si>
  <si>
    <t>Business Office Specialist</t>
  </si>
  <si>
    <t>scushman@morristowneld75.org</t>
  </si>
  <si>
    <t>P.O. Box 98</t>
  </si>
  <si>
    <t>Morristown</t>
  </si>
  <si>
    <t>25950 West Rockaway Hills Drive</t>
  </si>
  <si>
    <t>Morristown Elementary School</t>
  </si>
  <si>
    <t>Nadaburg Unified School District</t>
  </si>
  <si>
    <t>Kerre</t>
  </si>
  <si>
    <t>Laabs</t>
  </si>
  <si>
    <t>klaabs@nadaburgsd.org</t>
  </si>
  <si>
    <t>32919 Center Street</t>
  </si>
  <si>
    <t>Wittmann</t>
  </si>
  <si>
    <t>Nadaburg Elementary School</t>
  </si>
  <si>
    <t>Hogan</t>
  </si>
  <si>
    <t>bhogan@nadaburgsd.org</t>
  </si>
  <si>
    <t>21419 W. Dove Valley Rd</t>
  </si>
  <si>
    <t>Desert Oasis Elementary School</t>
  </si>
  <si>
    <t>Hope</t>
  </si>
  <si>
    <t>Haynes</t>
  </si>
  <si>
    <t>Cafeteria  Manager</t>
  </si>
  <si>
    <t>hhaynes@nadaburgusd.org</t>
  </si>
  <si>
    <t>17161 W. Bajada Road</t>
  </si>
  <si>
    <t>Mobile Elementary District</t>
  </si>
  <si>
    <t>Tonia</t>
  </si>
  <si>
    <t>Crew</t>
  </si>
  <si>
    <t>Food Service Manager/ Director</t>
  </si>
  <si>
    <t>tcrew@mobileesd.org</t>
  </si>
  <si>
    <t>42798 South 99th Avenue</t>
  </si>
  <si>
    <t>Maricopa</t>
  </si>
  <si>
    <t>Mobile Elementary School</t>
  </si>
  <si>
    <t>Food Service Manger/ Director</t>
  </si>
  <si>
    <t>42798 South 99th Ave</t>
  </si>
  <si>
    <t>Saddle Mountain Unified School District</t>
  </si>
  <si>
    <t>Kirk</t>
  </si>
  <si>
    <t>Waddle</t>
  </si>
  <si>
    <t>kirk.waddle@smusd90.org</t>
  </si>
  <si>
    <t>38201 W. Indian School Rd</t>
  </si>
  <si>
    <t>Tonopah</t>
  </si>
  <si>
    <t>Ruth Fisher Elementary School</t>
  </si>
  <si>
    <t>Corina</t>
  </si>
  <si>
    <t>Cardoza</t>
  </si>
  <si>
    <t>corina.cardoza@smusd90.org</t>
  </si>
  <si>
    <t>38201 W. Indian Sch. Rd.</t>
  </si>
  <si>
    <t>Tonopah Valley High School</t>
  </si>
  <si>
    <t>38201 W. Indian School Road</t>
  </si>
  <si>
    <t>Tartesso Elementary School</t>
  </si>
  <si>
    <t>29677 W. Indianola Road</t>
  </si>
  <si>
    <t>Paloma School District</t>
  </si>
  <si>
    <t>ROSA</t>
  </si>
  <si>
    <t>NEVAREZ</t>
  </si>
  <si>
    <t>CAFETERIA MANAGER</t>
  </si>
  <si>
    <t>igarcia@palomaesd.org</t>
  </si>
  <si>
    <t>38739 W I-8</t>
  </si>
  <si>
    <t>Temporary Assignment to Cori Hensley</t>
  </si>
  <si>
    <t>Kiser Elementary School</t>
  </si>
  <si>
    <t>Irma</t>
  </si>
  <si>
    <t>Phoenix Elementary District</t>
  </si>
  <si>
    <t>Burkhart</t>
  </si>
  <si>
    <t>michelle.burkhart@phxschools.org</t>
  </si>
  <si>
    <t>120 East Grant Street</t>
  </si>
  <si>
    <t>1817 North 7th Street</t>
  </si>
  <si>
    <t>Mary Mcleod Bethune School</t>
  </si>
  <si>
    <t>Direct of Child Nutrition</t>
  </si>
  <si>
    <t>1310 South 15th Avenue</t>
  </si>
  <si>
    <t>Capitol Elementary School</t>
  </si>
  <si>
    <t>330 North 16th Avenue</t>
  </si>
  <si>
    <t>Paul Dunbar Lawrence School</t>
  </si>
  <si>
    <t>707 W. Grant</t>
  </si>
  <si>
    <t>Thomas A Edison School</t>
  </si>
  <si>
    <t>804 N. 18th Street</t>
  </si>
  <si>
    <t>Ralph Waldo Emerson Elementary School</t>
  </si>
  <si>
    <t>915 E. Palm Lane</t>
  </si>
  <si>
    <t>Garfield School</t>
  </si>
  <si>
    <t>811 N. 13th Street</t>
  </si>
  <si>
    <t>Magnet Traditional School</t>
  </si>
  <si>
    <t>2602 N. 23rd Ave</t>
  </si>
  <si>
    <t>Maie Bartlett Heard School</t>
  </si>
  <si>
    <t>2301 W. Thomas Road</t>
  </si>
  <si>
    <t>Silvestre S Herrera School</t>
  </si>
  <si>
    <t>1350 S. 11th Street</t>
  </si>
  <si>
    <t>Kenilworth Elementary School</t>
  </si>
  <si>
    <t>1210 N. 5th Ave</t>
  </si>
  <si>
    <t>1121 S. 3rd Avenue</t>
  </si>
  <si>
    <t>2000 N. 16th Street</t>
  </si>
  <si>
    <t>Augustus H. Shaw Montessori</t>
  </si>
  <si>
    <t>123 North 13th Street</t>
  </si>
  <si>
    <t>Riverside Elementary District</t>
  </si>
  <si>
    <t>Eva</t>
  </si>
  <si>
    <t>Chalabi</t>
  </si>
  <si>
    <t>CNS Manager</t>
  </si>
  <si>
    <t>echalabi@riverside.k12.az.us</t>
  </si>
  <si>
    <t>1414 S 51st Avenue</t>
  </si>
  <si>
    <t>Lindsey Cler</t>
  </si>
  <si>
    <t>Riverside Traditional School</t>
  </si>
  <si>
    <t>CNS Supervisor</t>
  </si>
  <si>
    <t>Kings Ridge School</t>
  </si>
  <si>
    <t>3650 S 64th Ln</t>
  </si>
  <si>
    <t>Maricopa Institute of Technology (MIT)</t>
  </si>
  <si>
    <t>CNS Director</t>
  </si>
  <si>
    <t>3900 S. 55th Ave</t>
  </si>
  <si>
    <t>Maricopa Institute of Technology</t>
  </si>
  <si>
    <t>Tempe School District</t>
  </si>
  <si>
    <t>Rider</t>
  </si>
  <si>
    <t>Director of nutrition services</t>
  </si>
  <si>
    <t>linda.rider@tempeschools.org</t>
  </si>
  <si>
    <t>Brogan Center</t>
  </si>
  <si>
    <t>1430 W Elna Rae</t>
  </si>
  <si>
    <t>Frank Elementary School</t>
  </si>
  <si>
    <t>Director of Nutritional Services</t>
  </si>
  <si>
    <t>lrider@tempeschools.org</t>
  </si>
  <si>
    <t>Frank School</t>
  </si>
  <si>
    <t>8409 S Avenida del Yaqui</t>
  </si>
  <si>
    <t>Guadalupe</t>
  </si>
  <si>
    <t>Carminati School</t>
  </si>
  <si>
    <t>4001 S McAllistar</t>
  </si>
  <si>
    <t>Broadmor Elementary School</t>
  </si>
  <si>
    <t>Broadmor School</t>
  </si>
  <si>
    <t>311 Aepli Drive</t>
  </si>
  <si>
    <t>Flora Thew Elementary School</t>
  </si>
  <si>
    <t>Director of Nutritional services</t>
  </si>
  <si>
    <t>Flora Thew School</t>
  </si>
  <si>
    <t>2130 E Howe St</t>
  </si>
  <si>
    <t>Holdeman Elementary School</t>
  </si>
  <si>
    <t>1430 W. Elna Rae</t>
  </si>
  <si>
    <t>Holdeman Elementary</t>
  </si>
  <si>
    <t>1326 W. 18th. St.</t>
  </si>
  <si>
    <t>Laird Elementary School</t>
  </si>
  <si>
    <t>1500 N. Scovel Street</t>
  </si>
  <si>
    <t>Meyer Montessori</t>
  </si>
  <si>
    <t>Director of Nutrition Services</t>
  </si>
  <si>
    <t>linda.rider@temepschools.org</t>
  </si>
  <si>
    <t>2615 S. Dorsey Ln</t>
  </si>
  <si>
    <t>Hudson Elementary School</t>
  </si>
  <si>
    <t>Hudson School</t>
  </si>
  <si>
    <t>1325 E Malibu Dr</t>
  </si>
  <si>
    <t>Scales Technology Academy</t>
  </si>
  <si>
    <t>Scales School</t>
  </si>
  <si>
    <t>1115 W Fifth St</t>
  </si>
  <si>
    <t>Curry Elementary School</t>
  </si>
  <si>
    <t>Curry School</t>
  </si>
  <si>
    <t>1974 E Meadow Drive</t>
  </si>
  <si>
    <t>Arredondo Elementary School</t>
  </si>
  <si>
    <t>Brogan center</t>
  </si>
  <si>
    <t>Arredondo School</t>
  </si>
  <si>
    <t>1330 E Carson Dr</t>
  </si>
  <si>
    <t>Nevitt Elementary School</t>
  </si>
  <si>
    <t>Nevitt School</t>
  </si>
  <si>
    <t>4525 E St Anne St</t>
  </si>
  <si>
    <t>Wood School</t>
  </si>
  <si>
    <t>727 W Cornell Dr</t>
  </si>
  <si>
    <t>Aguilar School</t>
  </si>
  <si>
    <t>Nutritional Services Director</t>
  </si>
  <si>
    <t>5800 S. Forest Avenue</t>
  </si>
  <si>
    <t>Rover Elementary School</t>
  </si>
  <si>
    <t>Rover School</t>
  </si>
  <si>
    <t>1300 E Watson Dr</t>
  </si>
  <si>
    <t>Fuller Elementary School</t>
  </si>
  <si>
    <t>rider</t>
  </si>
  <si>
    <t>Fuller School</t>
  </si>
  <si>
    <t>1975 E Cornell Dr</t>
  </si>
  <si>
    <t>Gililland Middle School</t>
  </si>
  <si>
    <t>1025 S Beck Ave</t>
  </si>
  <si>
    <t>Connolly Middle School</t>
  </si>
  <si>
    <t>2002 E. Concorda Dr.</t>
  </si>
  <si>
    <t>Fees College Preparatory Middle School</t>
  </si>
  <si>
    <t>1600 E Watson Dr</t>
  </si>
  <si>
    <t>Ward Traditional Academy</t>
  </si>
  <si>
    <t>1965 E. Hermosa Dr.</t>
  </si>
  <si>
    <t>Tempe Academy of International Studies McKemy Campus</t>
  </si>
  <si>
    <t>1430 W. Elna Rae St</t>
  </si>
  <si>
    <t>2250 S. College Ave.</t>
  </si>
  <si>
    <t>Desert Choice Schools - Evans Learning Center</t>
  </si>
  <si>
    <t>Director of Nutrition services</t>
  </si>
  <si>
    <t>4525 S. College Ave.</t>
  </si>
  <si>
    <t>Isaac Elementary District</t>
  </si>
  <si>
    <t>Gasiorek</t>
  </si>
  <si>
    <t>Nutrition Service Director</t>
  </si>
  <si>
    <t>dgasiorek@isaacschools.org</t>
  </si>
  <si>
    <t>4135 W. Thomas Road</t>
  </si>
  <si>
    <t>3348 W. McDowell Road</t>
  </si>
  <si>
    <t>Isaac Middle School</t>
  </si>
  <si>
    <t>Matilde</t>
  </si>
  <si>
    <t>Rodriguez</t>
  </si>
  <si>
    <t>mrodriguez@isaacschools.org</t>
  </si>
  <si>
    <t>3402 W. McDowell Road</t>
  </si>
  <si>
    <t>J B Sutton Elementary School</t>
  </si>
  <si>
    <t>Francisca</t>
  </si>
  <si>
    <t>Camacho</t>
  </si>
  <si>
    <t>fcamacho@isaacschools.org</t>
  </si>
  <si>
    <t>1001 N 31st. Avenue</t>
  </si>
  <si>
    <t>Alta E Butler School</t>
  </si>
  <si>
    <t>Maide</t>
  </si>
  <si>
    <t>Carmona</t>
  </si>
  <si>
    <t>mcarmona@isaacschools.org</t>
  </si>
  <si>
    <t>3843 W. Roosevelt St.</t>
  </si>
  <si>
    <t>P T Coe Elementary School</t>
  </si>
  <si>
    <t>Carlon</t>
  </si>
  <si>
    <t>ncarlon@isaacschools.org</t>
  </si>
  <si>
    <t>3801 W. Roanoke</t>
  </si>
  <si>
    <t>Joseph Zito Elementary School</t>
  </si>
  <si>
    <t>Haydee</t>
  </si>
  <si>
    <t>Celis</t>
  </si>
  <si>
    <t>hcelis@isaacschools.org</t>
  </si>
  <si>
    <t>4525 W. Encanto Blvd.</t>
  </si>
  <si>
    <t>Mitchell Elementary School</t>
  </si>
  <si>
    <t>Candida</t>
  </si>
  <si>
    <t>Ruiz De Hernandez</t>
  </si>
  <si>
    <t>cruizdehernandez@isaacschools.org</t>
  </si>
  <si>
    <t>1700 N. 41st. Avenue</t>
  </si>
  <si>
    <t>Mercedes</t>
  </si>
  <si>
    <t>Palomino</t>
  </si>
  <si>
    <t>mpalomino@isaacschools.org</t>
  </si>
  <si>
    <t>3025 W. McDowell Road</t>
  </si>
  <si>
    <t>Pueblo Del Sol Middle School</t>
  </si>
  <si>
    <t>Leticia</t>
  </si>
  <si>
    <t>Canales</t>
  </si>
  <si>
    <t>lcanales@isaacschools.org</t>
  </si>
  <si>
    <t>3449 N. 39th Avenue</t>
  </si>
  <si>
    <t>Morris K. Udall Escuela de Bellas Artes</t>
  </si>
  <si>
    <t>Moreno</t>
  </si>
  <si>
    <t>rmoreno@isaacschools.org</t>
  </si>
  <si>
    <t>3715 W. Roosevelt St.</t>
  </si>
  <si>
    <t>Moya Elementary</t>
  </si>
  <si>
    <t>Fatima</t>
  </si>
  <si>
    <t>fvalenzuela@isaacschools.org</t>
  </si>
  <si>
    <t>406 N. 41st. Avenue</t>
  </si>
  <si>
    <t>Washington Elementary School District</t>
  </si>
  <si>
    <t>Parmenter</t>
  </si>
  <si>
    <t>connie.parmenter@wesdschools.org</t>
  </si>
  <si>
    <t>4650 W. Sweetwater Ave.</t>
  </si>
  <si>
    <t>12641 N. 39th Ave.</t>
  </si>
  <si>
    <t>Acacia Elementary School</t>
  </si>
  <si>
    <t>3021 W. Evans Dr.</t>
  </si>
  <si>
    <t>Alta Vista Elementary School</t>
  </si>
  <si>
    <t>8710 N. 31st Ave.</t>
  </si>
  <si>
    <t>Arroyo Elementary School</t>
  </si>
  <si>
    <t>4535 W. Cholla</t>
  </si>
  <si>
    <t>Cactus Wren Elementary School</t>
  </si>
  <si>
    <t>9650 N. 39th Ave.</t>
  </si>
  <si>
    <t>3808 W. Joan De Arc</t>
  </si>
  <si>
    <t>Cholla Middle School</t>
  </si>
  <si>
    <t>3120 W. Cholla</t>
  </si>
  <si>
    <t>Desert Foothills Middle School</t>
  </si>
  <si>
    <t>connie.parmenter@wesdschool.org</t>
  </si>
  <si>
    <t>4650 W.  Sweetwater Ave.</t>
  </si>
  <si>
    <t>3333 W. Banff</t>
  </si>
  <si>
    <t>Desert View Elementary School</t>
  </si>
  <si>
    <t>8621 N. 3rd St.</t>
  </si>
  <si>
    <t>Ironwood Elementary School</t>
  </si>
  <si>
    <t>14850 N. 39th Ave.</t>
  </si>
  <si>
    <t>John Jacobs Elementary School</t>
  </si>
  <si>
    <t>14421 N. 23rd Ave.</t>
  </si>
  <si>
    <t>Lakeview Elementary School</t>
  </si>
  <si>
    <t>3040 W. Yucca</t>
  </si>
  <si>
    <t>Lookout Mountain School</t>
  </si>
  <si>
    <t>15 W. Coral Gables</t>
  </si>
  <si>
    <t>Manzanita Elementary School</t>
  </si>
  <si>
    <t>8430 N. 39th Ave.</t>
  </si>
  <si>
    <t>Maryland Elementary School</t>
  </si>
  <si>
    <t>6503 N. 21st Ave.</t>
  </si>
  <si>
    <t>Moon Mountain School</t>
  </si>
  <si>
    <t>13425 N. 19th Ave.</t>
  </si>
  <si>
    <t>Mountain Sky Middle School</t>
  </si>
  <si>
    <t>16225 N. 7th Ave.</t>
  </si>
  <si>
    <t>Mountain View Elementary School</t>
  </si>
  <si>
    <t>801 W. Peoria</t>
  </si>
  <si>
    <t>Ocotillo School</t>
  </si>
  <si>
    <t>3225 W. Ocotillo</t>
  </si>
  <si>
    <t>Orangewood School</t>
  </si>
  <si>
    <t>7337 N. 19th Ave</t>
  </si>
  <si>
    <t>Palo Verde Middle School</t>
  </si>
  <si>
    <t>7502 N. 39th Ave.</t>
  </si>
  <si>
    <t>Richard E Miller School</t>
  </si>
  <si>
    <t>2021 W. Alice</t>
  </si>
  <si>
    <t>Roadrunner Elementary School</t>
  </si>
  <si>
    <t>7702 N. 39th Ave.</t>
  </si>
  <si>
    <t>Royal Palm Middle School</t>
  </si>
  <si>
    <t>8520 N. 19th Ave.</t>
  </si>
  <si>
    <t>Sahuaro School</t>
  </si>
  <si>
    <t>12835 N. 33rd Ave.</t>
  </si>
  <si>
    <t>Shaw Butte School</t>
  </si>
  <si>
    <t>12202 N. 21st Ave.</t>
  </si>
  <si>
    <t>Sunburst School</t>
  </si>
  <si>
    <t>14218 N. 47th Ave.</t>
  </si>
  <si>
    <t>Sweetwater School</t>
  </si>
  <si>
    <t>4602 W. Sweetwater Ave.</t>
  </si>
  <si>
    <t>Sunnyslope Elementary School</t>
  </si>
  <si>
    <t>245 E. Mountain View Rd.</t>
  </si>
  <si>
    <t>Sunset School</t>
  </si>
  <si>
    <t>4626 W. Mountain View Rd.</t>
  </si>
  <si>
    <t>Tumbleweed Elementary School</t>
  </si>
  <si>
    <t>4001 W. Laurel Ln.</t>
  </si>
  <si>
    <t>Abraham Lincoln Traditional School</t>
  </si>
  <si>
    <t>10444 N. 39th Ave.</t>
  </si>
  <si>
    <t>8033 N. 27th Ave.</t>
  </si>
  <si>
    <t>Wilson Elementary District</t>
  </si>
  <si>
    <t>Love</t>
  </si>
  <si>
    <t>mary.love@wsd.k12.az.us</t>
  </si>
  <si>
    <t>2929 E. Fillmore</t>
  </si>
  <si>
    <t>Yvette</t>
  </si>
  <si>
    <t>Lowe</t>
  </si>
  <si>
    <t>yvette.lowe@wsd.k12.az.us</t>
  </si>
  <si>
    <t>Wilson Primary School</t>
  </si>
  <si>
    <t>415 N. 30th street</t>
  </si>
  <si>
    <t>Osborn Elementary District</t>
  </si>
  <si>
    <t>Cory</t>
  </si>
  <si>
    <t>Alexander</t>
  </si>
  <si>
    <t>calexander@osbornsd.org</t>
  </si>
  <si>
    <t>1226 W. Osborn Road</t>
  </si>
  <si>
    <t>Clarendon School</t>
  </si>
  <si>
    <t>Nayra</t>
  </si>
  <si>
    <t>Amado</t>
  </si>
  <si>
    <t>namado@osbornsd.org</t>
  </si>
  <si>
    <t>1225 W Clarendon</t>
  </si>
  <si>
    <t>Encanto School</t>
  </si>
  <si>
    <t>1420 W. Osborn Rd.</t>
  </si>
  <si>
    <t>Osborn Middle School</t>
  </si>
  <si>
    <t>Michael</t>
  </si>
  <si>
    <t>Selvaggio</t>
  </si>
  <si>
    <t>mselvagg@osbornnet.org</t>
  </si>
  <si>
    <t>1102 West Highland</t>
  </si>
  <si>
    <t>Solano School</t>
  </si>
  <si>
    <t>Houston</t>
  </si>
  <si>
    <t>jhoustonl@osbornnet.org</t>
  </si>
  <si>
    <t>1526 W. Missouri</t>
  </si>
  <si>
    <t>Longview Elementary School</t>
  </si>
  <si>
    <t>Dominguez</t>
  </si>
  <si>
    <t>mdominguez@osbornnet.org</t>
  </si>
  <si>
    <t>1209 East Indian School Rd.</t>
  </si>
  <si>
    <t>Montecito Community School</t>
  </si>
  <si>
    <t>715 E. Montecito Ave</t>
  </si>
  <si>
    <t>Creighton Elementary District</t>
  </si>
  <si>
    <t>Bronner</t>
  </si>
  <si>
    <t>ebronner@creightonschools.org</t>
  </si>
  <si>
    <t>2802 E. McDowell Road</t>
  </si>
  <si>
    <t>Creighton Elementary School</t>
  </si>
  <si>
    <t>Melvin</t>
  </si>
  <si>
    <t>emelvin@creightonschools.org</t>
  </si>
  <si>
    <t>Larry C Kennedy School</t>
  </si>
  <si>
    <t>Valencia</t>
  </si>
  <si>
    <t>dvalencia@creightonschools.org</t>
  </si>
  <si>
    <t>Creighton Sch. Dist. Food Service Dept</t>
  </si>
  <si>
    <t>2702 E. Osborn Road</t>
  </si>
  <si>
    <t>Loma Linda Elementary School</t>
  </si>
  <si>
    <t>Creighton Sch. Dist. Food Service Dept.</t>
  </si>
  <si>
    <t>2002 E. Clarendon</t>
  </si>
  <si>
    <t>Phoeniz</t>
  </si>
  <si>
    <t>William T Machan Elementary School</t>
  </si>
  <si>
    <t>Alejandro</t>
  </si>
  <si>
    <t>Rios</t>
  </si>
  <si>
    <t>arios@creightonschools.org</t>
  </si>
  <si>
    <t>2140 E. Virginia</t>
  </si>
  <si>
    <t>Monte Vista Elementary School</t>
  </si>
  <si>
    <t>F.S. Cafeteria Manager</t>
  </si>
  <si>
    <t>GSandoval@Creightonschools.org</t>
  </si>
  <si>
    <t>3501 E. Osborn Road</t>
  </si>
  <si>
    <t>Papago School</t>
  </si>
  <si>
    <t>Gsanchez@creightonschools.org</t>
  </si>
  <si>
    <t>2802 E. McDowell Rd</t>
  </si>
  <si>
    <t>2013 N. 36th Street</t>
  </si>
  <si>
    <t>Biltmore Preparatory Academy</t>
  </si>
  <si>
    <t>Cesar</t>
  </si>
  <si>
    <t>cortiz@Creightonschools.org</t>
  </si>
  <si>
    <t>4601 N. 34th Street</t>
  </si>
  <si>
    <t>Gateway School</t>
  </si>
  <si>
    <t>Sonja</t>
  </si>
  <si>
    <t>Gomez</t>
  </si>
  <si>
    <t>Sgomez@creightonschools.org</t>
  </si>
  <si>
    <t>2802 E. McDowell Rd.</t>
  </si>
  <si>
    <t>1100 N. 35th Street</t>
  </si>
  <si>
    <t>Excelencia School</t>
  </si>
  <si>
    <t>Kerry</t>
  </si>
  <si>
    <t>Hammer</t>
  </si>
  <si>
    <t>Khammer@creightonschools.org</t>
  </si>
  <si>
    <t>2181 E. McDowell Road</t>
  </si>
  <si>
    <t>Tolleson Elementary District</t>
  </si>
  <si>
    <t>Dr. Myriam</t>
  </si>
  <si>
    <t>Roa</t>
  </si>
  <si>
    <t>mroa@tesd.k12.az.us</t>
  </si>
  <si>
    <t>9261 W. Van Buren Street</t>
  </si>
  <si>
    <t>Tolleson</t>
  </si>
  <si>
    <t>Porfirio H. Gonzales Elementary School</t>
  </si>
  <si>
    <t>9401 W. Garfield</t>
  </si>
  <si>
    <t>Arizona Desert Elementary School</t>
  </si>
  <si>
    <t>8803 W. Van Buren Street</t>
  </si>
  <si>
    <t>Tolleson, AZ</t>
  </si>
  <si>
    <t>Sheely Farms Elementary School</t>
  </si>
  <si>
    <t>9261 W. Van Buren</t>
  </si>
  <si>
    <t>9450 W. Encanto</t>
  </si>
  <si>
    <t>8802 W. McDowell</t>
  </si>
  <si>
    <t>Murphy Elementary District</t>
  </si>
  <si>
    <t>Serbin</t>
  </si>
  <si>
    <t>jserbin@msdaz.org</t>
  </si>
  <si>
    <t>2615 West Buckeye Road</t>
  </si>
  <si>
    <t>Arthur M Hamilton School</t>
  </si>
  <si>
    <t>Rojas</t>
  </si>
  <si>
    <t>vrojas@msdaz.org</t>
  </si>
  <si>
    <t>2020 West Durango</t>
  </si>
  <si>
    <t>Jack L Kuban Elementary School</t>
  </si>
  <si>
    <t>3401 West Sherman</t>
  </si>
  <si>
    <t>William R Sullivan Elementary School</t>
  </si>
  <si>
    <t>2 North 31st Avenue</t>
  </si>
  <si>
    <t>Alfred F Garcia School</t>
  </si>
  <si>
    <t>1441 South 27th Avenue</t>
  </si>
  <si>
    <t>St. Matthew School</t>
  </si>
  <si>
    <t>2038 West Van Buren</t>
  </si>
  <si>
    <t>Liberty Elementary District</t>
  </si>
  <si>
    <t>Basinger</t>
  </si>
  <si>
    <t>Executive Director of Finance</t>
  </si>
  <si>
    <t>kbaysinger@liberty25.org</t>
  </si>
  <si>
    <t>19871 W. Fremont Rd.</t>
  </si>
  <si>
    <t>Lorena</t>
  </si>
  <si>
    <t>Food Service Specialist</t>
  </si>
  <si>
    <t>lgallegos@liberty25.org</t>
  </si>
  <si>
    <t>19818 West  HWY 85</t>
  </si>
  <si>
    <t>Estrella Mountain Elementary School</t>
  </si>
  <si>
    <t>10301 South San Miguel</t>
  </si>
  <si>
    <t>Goodyear</t>
  </si>
  <si>
    <t>Rainbow Valley Elementary School</t>
  </si>
  <si>
    <t>19716 West Narramore</t>
  </si>
  <si>
    <t>Westar Elementary School</t>
  </si>
  <si>
    <t>19818 W. Hwy 85</t>
  </si>
  <si>
    <t>17777 W Westar Dr</t>
  </si>
  <si>
    <t>Freedom Elementary School</t>
  </si>
  <si>
    <t>22150 West Sundance Pkway South</t>
  </si>
  <si>
    <t>Las Brisas Academy</t>
  </si>
  <si>
    <t>18211 W. Las Brisas Dr.</t>
  </si>
  <si>
    <t>Kyrene Elementary District</t>
  </si>
  <si>
    <t>Jani</t>
  </si>
  <si>
    <t>Fasulo</t>
  </si>
  <si>
    <t>Assistant Director of Business Services</t>
  </si>
  <si>
    <t>fasulo@kyrene.org</t>
  </si>
  <si>
    <t>8700 S. Kyrene Road, MS1A</t>
  </si>
  <si>
    <t>8700 S. Kyrene Road</t>
  </si>
  <si>
    <t>Kyrene Aprende Middle School</t>
  </si>
  <si>
    <t>jfasulo@kyrene.org</t>
  </si>
  <si>
    <t>8700 S Kyrene Road, MS1A</t>
  </si>
  <si>
    <t>777 N. Desert Breeze Blvd. East, #2</t>
  </si>
  <si>
    <t>Kyrene Altadena Middle School</t>
  </si>
  <si>
    <t>14620 S. Desert Foothills Parkway</t>
  </si>
  <si>
    <t>Kyrene Akimel A-Al Middle School</t>
  </si>
  <si>
    <t>2720 East Liberty Lane</t>
  </si>
  <si>
    <t>Kyrene Centennial Middle School</t>
  </si>
  <si>
    <t>13808 S. 36th Street</t>
  </si>
  <si>
    <t>Kyrene del Pueblo Middle School</t>
  </si>
  <si>
    <t>360 S. Twelve Oaks Boulevard</t>
  </si>
  <si>
    <t>Kyrene Middle School</t>
  </si>
  <si>
    <t>1050 E. Carver Road</t>
  </si>
  <si>
    <t>C I Waggoner School</t>
  </si>
  <si>
    <t>1050 E Carver Road</t>
  </si>
  <si>
    <t>Kyrene del Norte School</t>
  </si>
  <si>
    <t>1331 E. Redfield Road</t>
  </si>
  <si>
    <t>Kyrene de las Lomas School</t>
  </si>
  <si>
    <t>jfaulo@kyrene.org</t>
  </si>
  <si>
    <t>11820 S. Warner Elliot Loop</t>
  </si>
  <si>
    <t>Kyrene de los Ninos School</t>
  </si>
  <si>
    <t>1330 E. Dava Drive</t>
  </si>
  <si>
    <t>Kyrene del Cielo School</t>
  </si>
  <si>
    <t>1350 N. Lakeshore Drive</t>
  </si>
  <si>
    <t>Kyrene de la Paloma School</t>
  </si>
  <si>
    <t>5000 S. Whitten Drive</t>
  </si>
  <si>
    <t>Kyrene de la Colina School</t>
  </si>
  <si>
    <t>Janie</t>
  </si>
  <si>
    <t>13612 S. 36th Street</t>
  </si>
  <si>
    <t>Kyrene Traditional Academy</t>
  </si>
  <si>
    <t>3375 W. Galveston Street</t>
  </si>
  <si>
    <t>Kyrene de la Mariposa School</t>
  </si>
  <si>
    <t>jfasolu@kyrene.org</t>
  </si>
  <si>
    <t>50 E. Knox Road</t>
  </si>
  <si>
    <t>Kyrene De Los Lagos School</t>
  </si>
  <si>
    <t>17001 S. 34th Way</t>
  </si>
  <si>
    <t>Kyrene Monte Vista School</t>
  </si>
  <si>
    <t>15221 S. Ray Road</t>
  </si>
  <si>
    <t>Kyrene de la Sierra School</t>
  </si>
  <si>
    <t>1122 E. Liberty Lane</t>
  </si>
  <si>
    <t>Kyrene de la Mirada School</t>
  </si>
  <si>
    <t>5500 W Galveston Street</t>
  </si>
  <si>
    <t>Kyrene de la Esperanza School</t>
  </si>
  <si>
    <t>14841 S. 41st Place</t>
  </si>
  <si>
    <t>Kyrene de las Brisas School</t>
  </si>
  <si>
    <t>777 N. Desert Breeze Blvd. East,#1</t>
  </si>
  <si>
    <t>Kyrene de los Cerritos School</t>
  </si>
  <si>
    <t>Kyrene de las Manitas School</t>
  </si>
  <si>
    <t>1201 W. Courtney Lane</t>
  </si>
  <si>
    <t>Kyrene de la Estrella Elementary School</t>
  </si>
  <si>
    <t>2620 E. Liberty Lane</t>
  </si>
  <si>
    <t>Kyrene del Milenio</t>
  </si>
  <si>
    <t>4630 E. Frye Road</t>
  </si>
  <si>
    <t>Balsz Elementary District</t>
  </si>
  <si>
    <t>Leedy</t>
  </si>
  <si>
    <t>MBA, SFO</t>
  </si>
  <si>
    <t>tleedy@balsz.org</t>
  </si>
  <si>
    <t>4825 E. Roosevelt</t>
  </si>
  <si>
    <t>Pat Tillman Middle School</t>
  </si>
  <si>
    <t>Child nutrition Manager</t>
  </si>
  <si>
    <t>cchatelain@balsz.org</t>
  </si>
  <si>
    <t>4309 E. Belleview St</t>
  </si>
  <si>
    <t>David Crockett Elementary School</t>
  </si>
  <si>
    <t>Carbajal</t>
  </si>
  <si>
    <t>Child Nutrition Manager</t>
  </si>
  <si>
    <t>chatelain@balsz.org</t>
  </si>
  <si>
    <t>501 N. 36th Street</t>
  </si>
  <si>
    <t>Griffith Elementary School</t>
  </si>
  <si>
    <t>Crystal</t>
  </si>
  <si>
    <t>Castro</t>
  </si>
  <si>
    <t>ccastro@balsz.org</t>
  </si>
  <si>
    <t>4505 E. Palm Lane</t>
  </si>
  <si>
    <t>Brunson-Lee Elementary School</t>
  </si>
  <si>
    <t>Ayala</t>
  </si>
  <si>
    <t>1350 N. 48th Street</t>
  </si>
  <si>
    <t>Orangedale Early Learning Center</t>
  </si>
  <si>
    <t>Aparicio</t>
  </si>
  <si>
    <t>aaparicio@balsz.org</t>
  </si>
  <si>
    <t>5048 E Oak St</t>
  </si>
  <si>
    <t>Buckeye Elementary District</t>
  </si>
  <si>
    <t>Nathan</t>
  </si>
  <si>
    <t>Bowler</t>
  </si>
  <si>
    <t>Assistant Superintendant of Business Operations</t>
  </si>
  <si>
    <t>nbowler@besd33.org</t>
  </si>
  <si>
    <t>25555 W Durango  St</t>
  </si>
  <si>
    <t>Bales Elementary School</t>
  </si>
  <si>
    <t>Jason</t>
  </si>
  <si>
    <t>Woods</t>
  </si>
  <si>
    <t>jwoods@besd33.org</t>
  </si>
  <si>
    <t>25555 W. Durango Street</t>
  </si>
  <si>
    <t>25400 W Maricopa St</t>
  </si>
  <si>
    <t>Sundance Elementary</t>
  </si>
  <si>
    <t>23800 W Hadley St.</t>
  </si>
  <si>
    <t>Buckeye Elementary School</t>
  </si>
  <si>
    <t>211 S. 7th St.</t>
  </si>
  <si>
    <t>Westpark Elementary School</t>
  </si>
  <si>
    <t>Buckeye Elementary School District</t>
  </si>
  <si>
    <t>25555 W Durango St</t>
  </si>
  <si>
    <t>2700 S. 257th Dr.</t>
  </si>
  <si>
    <t>Steven R. Jasinski Elementary School</t>
  </si>
  <si>
    <t>4280 S. 246th Ave</t>
  </si>
  <si>
    <t>Inca Elementary School</t>
  </si>
  <si>
    <t>25555 W. Durango  Street</t>
  </si>
  <si>
    <t>23601 W Durango St</t>
  </si>
  <si>
    <t>Marionneaux Elementary School</t>
  </si>
  <si>
    <t>24155 W. Roeser Road</t>
  </si>
  <si>
    <t>Madison Elementary District</t>
  </si>
  <si>
    <t>Garvey</t>
  </si>
  <si>
    <t>Deputy Superintendent</t>
  </si>
  <si>
    <t>lgarvey@madisoned.org</t>
  </si>
  <si>
    <t>Madison School District</t>
  </si>
  <si>
    <t>5601 N. 16th Street</t>
  </si>
  <si>
    <t>Madison #1 Elementary School</t>
  </si>
  <si>
    <t>Patty</t>
  </si>
  <si>
    <t>Escoboza</t>
  </si>
  <si>
    <t>pescoboza@madisoned.org</t>
  </si>
  <si>
    <t>5525 N. 16th Street</t>
  </si>
  <si>
    <t>Madison Camelview Elementary</t>
  </si>
  <si>
    <t>vmartinez@madisoned.org</t>
  </si>
  <si>
    <t>2002 E. Campbell</t>
  </si>
  <si>
    <t>Madison Richard Simis School</t>
  </si>
  <si>
    <t>Lauren</t>
  </si>
  <si>
    <t>Kemmer</t>
  </si>
  <si>
    <t>lkemmer@madisoned.org</t>
  </si>
  <si>
    <t>Simis Cafeteria</t>
  </si>
  <si>
    <t>7302 N. 10th Street</t>
  </si>
  <si>
    <t>Madison Rose Lane School</t>
  </si>
  <si>
    <t>Goodin</t>
  </si>
  <si>
    <t>lgoodin@madisoned.org</t>
  </si>
  <si>
    <t>Rose Lane Cafeteria</t>
  </si>
  <si>
    <t>1155 E. Rose Lane</t>
  </si>
  <si>
    <t>Madison Park School</t>
  </si>
  <si>
    <t>Cecelia</t>
  </si>
  <si>
    <t>Nolen</t>
  </si>
  <si>
    <t>cnolen@madisoned.org</t>
  </si>
  <si>
    <t>Park Cafeteria</t>
  </si>
  <si>
    <t>1431 E. Campbell</t>
  </si>
  <si>
    <t>Madison Meadows School</t>
  </si>
  <si>
    <t>Nolan</t>
  </si>
  <si>
    <t>lnolan@madisoned.org</t>
  </si>
  <si>
    <t>Meadows Cafeteria</t>
  </si>
  <si>
    <t>225 W. Ocotillo</t>
  </si>
  <si>
    <t>Madison Heights Elementary School</t>
  </si>
  <si>
    <t>Jacky</t>
  </si>
  <si>
    <t>Tsironis</t>
  </si>
  <si>
    <t>jtsironis@madisoned.org</t>
  </si>
  <si>
    <t>Heights Cafeteria</t>
  </si>
  <si>
    <t>7150 N. 22nd Street</t>
  </si>
  <si>
    <t>Madison Traditional Academy</t>
  </si>
  <si>
    <t>Rollins</t>
  </si>
  <si>
    <t>krollins@madisoned.org</t>
  </si>
  <si>
    <t>Madison Traditional Academy Cafeteria</t>
  </si>
  <si>
    <t>925 E Maryland Avenue</t>
  </si>
  <si>
    <t>Madison Highland Prep</t>
  </si>
  <si>
    <t>1431 E. Campbell Avenue</t>
  </si>
  <si>
    <t>Phoneix</t>
  </si>
  <si>
    <t>Glendale Elementary District</t>
  </si>
  <si>
    <t>Shannon</t>
  </si>
  <si>
    <t>Gleave</t>
  </si>
  <si>
    <t>sgleave@gesd40.org</t>
  </si>
  <si>
    <t>7015 W Maryland Ave</t>
  </si>
  <si>
    <t>Glendale Landmark School</t>
  </si>
  <si>
    <t>Regina</t>
  </si>
  <si>
    <t>Logan</t>
  </si>
  <si>
    <t>Food and Nutrition Operations Specialist</t>
  </si>
  <si>
    <t>rlogan@gesd40.org</t>
  </si>
  <si>
    <t>5730 W Myrtle Ave</t>
  </si>
  <si>
    <t>Isaac E Imes School</t>
  </si>
  <si>
    <t>6625 N 56th Ave</t>
  </si>
  <si>
    <t>Harold W Smith School</t>
  </si>
  <si>
    <t>6534 N 63rd Ave</t>
  </si>
  <si>
    <t>Melvin E Sine School</t>
  </si>
  <si>
    <t>4932 W Myrtle Ave</t>
  </si>
  <si>
    <t>William C Jack School</t>
  </si>
  <si>
    <t>6600 W Missouri Ave</t>
  </si>
  <si>
    <t>Don Mensendick School</t>
  </si>
  <si>
    <t>5535 N 67th Ave</t>
  </si>
  <si>
    <t>Glenn F Burton School</t>
  </si>
  <si>
    <t>4801 W Maryland Ave</t>
  </si>
  <si>
    <t>Glendale American School</t>
  </si>
  <si>
    <t>8530 N 55th Ave</t>
  </si>
  <si>
    <t>Bicentennial North School</t>
  </si>
  <si>
    <t>7237 W Missouri Ave</t>
  </si>
  <si>
    <t>Horizon School</t>
  </si>
  <si>
    <t>8520 N 47th Ave</t>
  </si>
  <si>
    <t>Challenger Middle School</t>
  </si>
  <si>
    <t>6905 W Maryland Ave</t>
  </si>
  <si>
    <t>Bicentennial South School</t>
  </si>
  <si>
    <t>7240 W Colter St</t>
  </si>
  <si>
    <t>Discovery School</t>
  </si>
  <si>
    <t>7910 W Maryland Ave</t>
  </si>
  <si>
    <t>Desert Garden Elementary School</t>
  </si>
  <si>
    <t>7020 W Ocotillo Rd</t>
  </si>
  <si>
    <t>The Childrens Center for Neurodevelopmental Studies</t>
  </si>
  <si>
    <t>5430 W Glenn Dr</t>
  </si>
  <si>
    <t>Coyote Ridge</t>
  </si>
  <si>
    <t>7677 W Bethany Home Rd</t>
  </si>
  <si>
    <t>Desert Spirit</t>
  </si>
  <si>
    <t>7355 W Orangewood Ave</t>
  </si>
  <si>
    <t>Sunset Vista</t>
  </si>
  <si>
    <t>7775 W Orangewood Ave</t>
  </si>
  <si>
    <t>Avondale Elementary District</t>
  </si>
  <si>
    <t>Sharrett</t>
  </si>
  <si>
    <t>lsharre@avondale.k12.az.us</t>
  </si>
  <si>
    <t>295 West Western Avenue</t>
  </si>
  <si>
    <t>Avondale</t>
  </si>
  <si>
    <t>Michael Anderson</t>
  </si>
  <si>
    <t>Manuel</t>
  </si>
  <si>
    <t>Lopez</t>
  </si>
  <si>
    <t>mlopez@avondale.k12.az.us</t>
  </si>
  <si>
    <t>43 S. 3rd. Avenue</t>
  </si>
  <si>
    <t>Eliseo C. Felix School</t>
  </si>
  <si>
    <t>Nora</t>
  </si>
  <si>
    <t>ngonzal1@avondale.k12.az.us</t>
  </si>
  <si>
    <t>540 East La Pasada Blvd.</t>
  </si>
  <si>
    <t>Lattie Coor</t>
  </si>
  <si>
    <t>de La Paz</t>
  </si>
  <si>
    <t>odelapa@avondale.k12.az.us</t>
  </si>
  <si>
    <t>220 La Canada</t>
  </si>
  <si>
    <t>Wildflower Accelerated Academy</t>
  </si>
  <si>
    <t>Olivia</t>
  </si>
  <si>
    <t>oguzman@Avondale.k12.az.us</t>
  </si>
  <si>
    <t>325 Wildflower Dive</t>
  </si>
  <si>
    <t>Desert Star</t>
  </si>
  <si>
    <t>Bertha</t>
  </si>
  <si>
    <t>Figueroa</t>
  </si>
  <si>
    <t>bfigue@Avondale.k12.az.us</t>
  </si>
  <si>
    <t>2131 South 157th Avenue</t>
  </si>
  <si>
    <t>Desert Thunder</t>
  </si>
  <si>
    <t>Caparoula</t>
  </si>
  <si>
    <t>kcaparo@Avondale.k12.az.us</t>
  </si>
  <si>
    <t>16750 W. Garfield</t>
  </si>
  <si>
    <t>St. John Vianney Catholic School</t>
  </si>
  <si>
    <t>Morris</t>
  </si>
  <si>
    <t>Food and Nutition Specialist</t>
  </si>
  <si>
    <t>mmorris@avondale.k12.az.us</t>
  </si>
  <si>
    <t>295 W. Western Avenue</t>
  </si>
  <si>
    <t>539 E. La Pasada Blvd</t>
  </si>
  <si>
    <t>Centerra Mirage STEM Academy</t>
  </si>
  <si>
    <t>Rodriquez</t>
  </si>
  <si>
    <t>frodrig@avondale.k12.az.us</t>
  </si>
  <si>
    <t>295 W. Western Ave</t>
  </si>
  <si>
    <t>15151 W. Centerra Drive S.</t>
  </si>
  <si>
    <t>Copper Trails</t>
  </si>
  <si>
    <t>Ana</t>
  </si>
  <si>
    <t>Ceja</t>
  </si>
  <si>
    <t>aceja@avondale.k12.az.us</t>
  </si>
  <si>
    <t>295 W Western</t>
  </si>
  <si>
    <t>16875 West Canyon Trails Blvd</t>
  </si>
  <si>
    <t>Avondale Middle School</t>
  </si>
  <si>
    <t>Oliver</t>
  </si>
  <si>
    <t>doliver@avondale.k12.az.us</t>
  </si>
  <si>
    <t>1406 N. Central Ave</t>
  </si>
  <si>
    <t>Fowler Elementary District</t>
  </si>
  <si>
    <t>Pattie</t>
  </si>
  <si>
    <t>Campos</t>
  </si>
  <si>
    <t>Culinary Operations Coordinator</t>
  </si>
  <si>
    <t>pcampos@fesd.org</t>
  </si>
  <si>
    <t>7250 West Lower Buckeye Rd.</t>
  </si>
  <si>
    <t>Attn: Food Service Department</t>
  </si>
  <si>
    <t>Fowler Elementary School</t>
  </si>
  <si>
    <t>Mendoza</t>
  </si>
  <si>
    <t>bmendoza@fesd.org</t>
  </si>
  <si>
    <t>6707 W. Van Buren Avenue</t>
  </si>
  <si>
    <t>Sunridge Elementary School</t>
  </si>
  <si>
    <t>Arzaga</t>
  </si>
  <si>
    <t>jarzaga@fesd.org</t>
  </si>
  <si>
    <t>6244 W. Roosevelt</t>
  </si>
  <si>
    <t>Santa Maria Middle School</t>
  </si>
  <si>
    <t>Kelly</t>
  </si>
  <si>
    <t>kgarcia@fesd.org</t>
  </si>
  <si>
    <t>7250 W. Lower Buckeye Rd</t>
  </si>
  <si>
    <t>Sun Canyon School</t>
  </si>
  <si>
    <t>Rocio</t>
  </si>
  <si>
    <t>rgarcia@fesd.org</t>
  </si>
  <si>
    <t>8150 West Durango</t>
  </si>
  <si>
    <t>Western Valley Elementary School</t>
  </si>
  <si>
    <t>rlopez@fesd.org</t>
  </si>
  <si>
    <t>6250 W. Durango</t>
  </si>
  <si>
    <t>Western Valley Middle School</t>
  </si>
  <si>
    <t>Tuscano Elementary School</t>
  </si>
  <si>
    <t>Araceli</t>
  </si>
  <si>
    <t>Camarillo</t>
  </si>
  <si>
    <t>acamarillo@fesd.org</t>
  </si>
  <si>
    <t>3850 S. 79th Ave.</t>
  </si>
  <si>
    <t>Arlington Elementary District</t>
  </si>
  <si>
    <t>Gabriela</t>
  </si>
  <si>
    <t>Medina</t>
  </si>
  <si>
    <t>gmedina@arlingtonk8.org</t>
  </si>
  <si>
    <t>PO Box 39</t>
  </si>
  <si>
    <t>Arlington</t>
  </si>
  <si>
    <t>9410 S. 355th Ave.</t>
  </si>
  <si>
    <t>Arlington Elementary School</t>
  </si>
  <si>
    <t>Palo Verde Elementary District</t>
  </si>
  <si>
    <t>Mogen</t>
  </si>
  <si>
    <t>mmogen@pvesd.org</t>
  </si>
  <si>
    <t>P.O. Box 108</t>
  </si>
  <si>
    <t>Palo Verde</t>
  </si>
  <si>
    <t>10700 S. Palo Verde Road</t>
  </si>
  <si>
    <t>Palo Verde Elementary School</t>
  </si>
  <si>
    <t>Jody</t>
  </si>
  <si>
    <t>Stanberry</t>
  </si>
  <si>
    <t>Technology Specialist</t>
  </si>
  <si>
    <t>jstanberry@pvesd.org</t>
  </si>
  <si>
    <t>Laveen Elementary District</t>
  </si>
  <si>
    <t>Gordon</t>
  </si>
  <si>
    <t>Child Nutrition Services Director</t>
  </si>
  <si>
    <t>jgordon@laveeneld.org</t>
  </si>
  <si>
    <t>5001 West Dobbins Road</t>
  </si>
  <si>
    <t>Laveen</t>
  </si>
  <si>
    <t>Laveen Elementary School</t>
  </si>
  <si>
    <t>Diane</t>
  </si>
  <si>
    <t>Taylor</t>
  </si>
  <si>
    <t>dtaylor@laveeneld.org</t>
  </si>
  <si>
    <t>4141 West McNeil Street</t>
  </si>
  <si>
    <t>Maurice C. Cash Elementary School</t>
  </si>
  <si>
    <t>Marcela</t>
  </si>
  <si>
    <t>Cazares</t>
  </si>
  <si>
    <t>mcazares@laveeneld.org</t>
  </si>
  <si>
    <t>3851 West Roeser Road</t>
  </si>
  <si>
    <t>Vista del Sur Accelerated</t>
  </si>
  <si>
    <t>Fabiola</t>
  </si>
  <si>
    <t>fmontano@laveeneld.org</t>
  </si>
  <si>
    <t>3908 West South Mountain Avenue</t>
  </si>
  <si>
    <t>Cheatham Elementary School</t>
  </si>
  <si>
    <t>Chavez</t>
  </si>
  <si>
    <t>lchavez@laveeneld.org</t>
  </si>
  <si>
    <t>4725 West South Mountain Ave</t>
  </si>
  <si>
    <t>Trailside Point Performing Arts Academy</t>
  </si>
  <si>
    <t>Miriam</t>
  </si>
  <si>
    <t>Montufar</t>
  </si>
  <si>
    <t>mmontufar@laveeneld.org</t>
  </si>
  <si>
    <t>7275 West Vineyard Road</t>
  </si>
  <si>
    <t>Desert Meadows Elementary School</t>
  </si>
  <si>
    <t>Monica</t>
  </si>
  <si>
    <t>mcampos@laveeneld.org</t>
  </si>
  <si>
    <t>6855 West Meadows Loop East</t>
  </si>
  <si>
    <t>Rogers Ranch School</t>
  </si>
  <si>
    <t>Sara</t>
  </si>
  <si>
    <t>Contreras</t>
  </si>
  <si>
    <t>scontreras@laveeneld.org</t>
  </si>
  <si>
    <t>6735 South 47th Avenue</t>
  </si>
  <si>
    <t>Paseo Pointe School</t>
  </si>
  <si>
    <t>Andrea</t>
  </si>
  <si>
    <t>asanchez@laveeneld.org</t>
  </si>
  <si>
    <t>8800 South 55th Avenue</t>
  </si>
  <si>
    <t>Union Elementary District</t>
  </si>
  <si>
    <t>Kendell</t>
  </si>
  <si>
    <t>Paty</t>
  </si>
  <si>
    <t>kpaty@uesd.org</t>
  </si>
  <si>
    <t>3834 S. 91st Avenue</t>
  </si>
  <si>
    <t>Union Elementary School</t>
  </si>
  <si>
    <t>Ramirez</t>
  </si>
  <si>
    <t>jramirez@uesd.org</t>
  </si>
  <si>
    <t>3834 S. 91st Ave</t>
  </si>
  <si>
    <t>Hurley Ranch Elementary</t>
  </si>
  <si>
    <t>Marlenne</t>
  </si>
  <si>
    <t>Pineda</t>
  </si>
  <si>
    <t>mpineda@uesd.org</t>
  </si>
  <si>
    <t>8950 W. Illini</t>
  </si>
  <si>
    <t>Dos Rios Elementary</t>
  </si>
  <si>
    <t>Matta</t>
  </si>
  <si>
    <t>lmatta@uesd.org</t>
  </si>
  <si>
    <t>2150 South 87th Avenue</t>
  </si>
  <si>
    <t>Littleton Elementary District</t>
  </si>
  <si>
    <t>Phyllis</t>
  </si>
  <si>
    <t>Kinder</t>
  </si>
  <si>
    <t>Chief Operations Officer</t>
  </si>
  <si>
    <t>kinder.phyllis@littletonaz.org</t>
  </si>
  <si>
    <t>P. O. Box 280</t>
  </si>
  <si>
    <t>Cashion</t>
  </si>
  <si>
    <t>1600 S. 107th Avenue</t>
  </si>
  <si>
    <t>Littleton Elementary School</t>
  </si>
  <si>
    <t>Marian</t>
  </si>
  <si>
    <t>Shepherd</t>
  </si>
  <si>
    <t>Accounting Specialist Senior</t>
  </si>
  <si>
    <t>mshepherd@littletonaz.org</t>
  </si>
  <si>
    <t>P.O. Box 280</t>
  </si>
  <si>
    <t>1252 South Avondale Blvd</t>
  </si>
  <si>
    <t>ACES-Peoria</t>
  </si>
  <si>
    <t>6815 W Cactus Rd</t>
  </si>
  <si>
    <t>Collier Elementary School</t>
  </si>
  <si>
    <t>350 S 118th Avenue</t>
  </si>
  <si>
    <t>Quentin Elementary School</t>
  </si>
  <si>
    <t>11050 West Whyman Avenue</t>
  </si>
  <si>
    <t>ACES-Tempe</t>
  </si>
  <si>
    <t>1515 S Indian Bend Road</t>
  </si>
  <si>
    <t>Country Place Elementary</t>
  </si>
  <si>
    <t>10207 W. Country Place Blvd.</t>
  </si>
  <si>
    <t>Estrella Vista Elementary School</t>
  </si>
  <si>
    <t>11905 W Cocopah Circle North</t>
  </si>
  <si>
    <t>Tres Rios Elementary School</t>
  </si>
  <si>
    <t>5025 South 103rd Avenue</t>
  </si>
  <si>
    <t>ACES-Phoenix West</t>
  </si>
  <si>
    <t>9000 W McDowell Rd</t>
  </si>
  <si>
    <t>Fine Arts Academy</t>
  </si>
  <si>
    <t>P O Box 280</t>
  </si>
  <si>
    <t>1700 South 103rd Avenue</t>
  </si>
  <si>
    <t>Roosevelt Elementary District</t>
  </si>
  <si>
    <t>Jerri</t>
  </si>
  <si>
    <t>Ferro</t>
  </si>
  <si>
    <t>Compliance Specialist</t>
  </si>
  <si>
    <t>jerri.ferro@rsd.k12.az.us</t>
  </si>
  <si>
    <t>1030 East Baseline Road</t>
  </si>
  <si>
    <t>Cesar E Chavez Community School</t>
  </si>
  <si>
    <t>Juanita</t>
  </si>
  <si>
    <t>juanita.brown@rsd.k12.az.us</t>
  </si>
  <si>
    <t>4001 South 3rd Street</t>
  </si>
  <si>
    <t>Percy L Julian School</t>
  </si>
  <si>
    <t>Padilla</t>
  </si>
  <si>
    <t>david.padilla@rsd.k12.az.us</t>
  </si>
  <si>
    <t>1030 East Baseline Rd</t>
  </si>
  <si>
    <t>2149 E Carver Drive</t>
  </si>
  <si>
    <t>Sunland Elementary School</t>
  </si>
  <si>
    <t>Joe</t>
  </si>
  <si>
    <t>Olivas</t>
  </si>
  <si>
    <t>joe.olivas@rsd.k12.az.us</t>
  </si>
  <si>
    <t>5401 South 7th Avenue</t>
  </si>
  <si>
    <t>Valley View School</t>
  </si>
  <si>
    <t>Arroyo</t>
  </si>
  <si>
    <t>debra.arroyo@rsd.k12.az.us</t>
  </si>
  <si>
    <t>8220 South 7th Avenue</t>
  </si>
  <si>
    <t>C J Jorgensen School</t>
  </si>
  <si>
    <t>Darrell</t>
  </si>
  <si>
    <t>Brinson</t>
  </si>
  <si>
    <t>craig.brinson@rsd.k12.az.us</t>
  </si>
  <si>
    <t>1701 West Roeser Road</t>
  </si>
  <si>
    <t>Irene Lopez School</t>
  </si>
  <si>
    <t>lourdes.sanchez@rsd.k12.az.us</t>
  </si>
  <si>
    <t>4610 South 12th Street</t>
  </si>
  <si>
    <t>Martin Luther King Early Childhood Center</t>
  </si>
  <si>
    <t>ana.camarillo@rsd.k12.az.us</t>
  </si>
  <si>
    <t>46150S.22nd. St.</t>
  </si>
  <si>
    <t>T G Barr School</t>
  </si>
  <si>
    <t>Susanna</t>
  </si>
  <si>
    <t>Estrada</t>
  </si>
  <si>
    <t>susanna.estrada@rsd.k12.az.us</t>
  </si>
  <si>
    <t>2041 East Vineyard Road</t>
  </si>
  <si>
    <t>V H Lassen Elementary School</t>
  </si>
  <si>
    <t>Maggie</t>
  </si>
  <si>
    <t>Ibarra</t>
  </si>
  <si>
    <t>magdalena.ibarra@rsd.k12.az.us</t>
  </si>
  <si>
    <t>909 West Vineyard Road</t>
  </si>
  <si>
    <t>John F Kennedy Elementary School</t>
  </si>
  <si>
    <t>Bertila</t>
  </si>
  <si>
    <t>bertila.garca@rsd.k12.az.us</t>
  </si>
  <si>
    <t>6825 South 10th Street</t>
  </si>
  <si>
    <t>Amy L. Houston Academy</t>
  </si>
  <si>
    <t>Konnie</t>
  </si>
  <si>
    <t>Baker</t>
  </si>
  <si>
    <t>Greenfield Production Supervisor</t>
  </si>
  <si>
    <t>konnie.baker@rsd.k12.az.us</t>
  </si>
  <si>
    <t>7139 South 10th Street</t>
  </si>
  <si>
    <t>C O Greenfield School</t>
  </si>
  <si>
    <t>Production Supervisor</t>
  </si>
  <si>
    <t>7009 South 10th Street</t>
  </si>
  <si>
    <t>Ignacio Conchos School</t>
  </si>
  <si>
    <t>patsy.chavez@rsd.k12.az.us</t>
  </si>
  <si>
    <t>1718 West Vineyard Road</t>
  </si>
  <si>
    <t>John R Davis School</t>
  </si>
  <si>
    <t>Dias</t>
  </si>
  <si>
    <t>martha.diaz@rsd.k12.az.us</t>
  </si>
  <si>
    <t>6209 South 15th Avenue</t>
  </si>
  <si>
    <t>Maxine O Bush Elementary School</t>
  </si>
  <si>
    <t>Valdez</t>
  </si>
  <si>
    <t>angie.valdez@rsd.k12.az.us</t>
  </si>
  <si>
    <t>602 East Siesta Drive</t>
  </si>
  <si>
    <t>Southwest Elementary School</t>
  </si>
  <si>
    <t>Kernette</t>
  </si>
  <si>
    <t>Johns</t>
  </si>
  <si>
    <t>kernette.johns@rsd.k12.az.us</t>
  </si>
  <si>
    <t>1111 West Dobbins Road</t>
  </si>
  <si>
    <t>Cloves C Campbell Sr Elementary School</t>
  </si>
  <si>
    <t>Jacque</t>
  </si>
  <si>
    <t>Theus</t>
  </si>
  <si>
    <t>jaque.theus@rsd.k12.az.us</t>
  </si>
  <si>
    <t>2624 East South Mountain Avenue</t>
  </si>
  <si>
    <t>Ed &amp; Verma Pastor Elementary School</t>
  </si>
  <si>
    <t>Chao</t>
  </si>
  <si>
    <t>martha.chao@rsd.k12.az.us</t>
  </si>
  <si>
    <t>2101 West Alta Vista Road</t>
  </si>
  <si>
    <t>Bernard Black Elementary School</t>
  </si>
  <si>
    <t>Anselma</t>
  </si>
  <si>
    <t>anselma.valdez@rsd.k12.az.us</t>
  </si>
  <si>
    <t>6550 South 27th Avenue</t>
  </si>
  <si>
    <t>Alhambra Elementary District</t>
  </si>
  <si>
    <t>Brienne</t>
  </si>
  <si>
    <t>Berg</t>
  </si>
  <si>
    <t>Child Nutrition Coordinator</t>
  </si>
  <si>
    <t>brienneberg@alhambraesd.org</t>
  </si>
  <si>
    <t>4510 North 37th Avenue</t>
  </si>
  <si>
    <t>Alhambra Traditional School</t>
  </si>
  <si>
    <t>5725 N. 27th Avenue</t>
  </si>
  <si>
    <t>James W. Rice Elementary School</t>
  </si>
  <si>
    <t>4530 West Campbell Avenue</t>
  </si>
  <si>
    <t>Barcelona Elementary School</t>
  </si>
  <si>
    <t>6530 North 44th Avenue</t>
  </si>
  <si>
    <t>Catalina Ventura School</t>
  </si>
  <si>
    <t>6331 North 39th Avenue</t>
  </si>
  <si>
    <t>Cordova Elementary School</t>
  </si>
  <si>
    <t>5631 North 35th Avenue</t>
  </si>
  <si>
    <t>Granada Elementary School-East Campus</t>
  </si>
  <si>
    <t>3022 West Campbell</t>
  </si>
  <si>
    <t>Granada Elementary School-West Campus</t>
  </si>
  <si>
    <t>3232 West Campbell Avenue</t>
  </si>
  <si>
    <t>Sevilla Elementary School-East Campus</t>
  </si>
  <si>
    <t>3801 West Missouri</t>
  </si>
  <si>
    <t>R E Simpson School</t>
  </si>
  <si>
    <t>5330 North 23rd Avenue</t>
  </si>
  <si>
    <t>Westwood Elementary School</t>
  </si>
  <si>
    <t>4711 North 23rd Avenue</t>
  </si>
  <si>
    <t>Carol G. Peck Elementary School</t>
  </si>
  <si>
    <t>5810 North 49th Avenue</t>
  </si>
  <si>
    <t>Sevilla Elementary School-West Campus</t>
  </si>
  <si>
    <t>3851 West Missouri</t>
  </si>
  <si>
    <t>Madrid Neighborhood School</t>
  </si>
  <si>
    <t>3736 W. Osborn</t>
  </si>
  <si>
    <t>Valencia Newcomer School</t>
  </si>
  <si>
    <t>3802 West Maryland</t>
  </si>
  <si>
    <t>Litchfield Elementary District</t>
  </si>
  <si>
    <t>Qualls</t>
  </si>
  <si>
    <t>qualls@lesd.k12.az.us</t>
  </si>
  <si>
    <t>272 E. Sagebrush St.</t>
  </si>
  <si>
    <t>Litchfield Park</t>
  </si>
  <si>
    <t>18921 Thomas Road Building  B</t>
  </si>
  <si>
    <t>Litchfield Elementary School</t>
  </si>
  <si>
    <t>Ronald</t>
  </si>
  <si>
    <t>Beck</t>
  </si>
  <si>
    <t>beckr@lesd.k12.az.us</t>
  </si>
  <si>
    <t>255 E. Wigwam Blvd</t>
  </si>
  <si>
    <t>Scott L Libby Elementary School</t>
  </si>
  <si>
    <t>18701 W. Thomas Rd</t>
  </si>
  <si>
    <t>Western Sky Middle School</t>
  </si>
  <si>
    <t>4095 N. 144th Ave</t>
  </si>
  <si>
    <t>Palm Valley Elementary</t>
  </si>
  <si>
    <t>2801 N. 135th Ave</t>
  </si>
  <si>
    <t>Rancho Santa Fe Elementary School</t>
  </si>
  <si>
    <t>2150 N. Rancho Santa Fe Blvd</t>
  </si>
  <si>
    <t>Wigwam Creek Middle School</t>
  </si>
  <si>
    <t>272 E. Sagebrush Street</t>
  </si>
  <si>
    <t>4510 N. 127th Ave</t>
  </si>
  <si>
    <t>Corte Sierra Elementary School</t>
  </si>
  <si>
    <t>272 E. Sagebrush St</t>
  </si>
  <si>
    <t>3300 N. Santa Fe Trail</t>
  </si>
  <si>
    <t>Dreaming Summit Elementary</t>
  </si>
  <si>
    <t>272 E. Sagebrush  St.</t>
  </si>
  <si>
    <t>13335 W. Missouri Ave</t>
  </si>
  <si>
    <t>Verrado Middle School</t>
  </si>
  <si>
    <t>20880 W. Main St</t>
  </si>
  <si>
    <t>Barbara B. Robey Elementary School</t>
  </si>
  <si>
    <t>5340 N. Wigwam Creek Blvd</t>
  </si>
  <si>
    <t>Verrado Elementary School</t>
  </si>
  <si>
    <t>20873 W. Sunrise Lane</t>
  </si>
  <si>
    <t>L. Thomas Heck Middle School</t>
  </si>
  <si>
    <t>beckr.d@lesd.k12.az.us</t>
  </si>
  <si>
    <t>12448 W. Bethany Home Road</t>
  </si>
  <si>
    <t>Mabel Padgett Elementary School</t>
  </si>
  <si>
    <t>15430 W. Turney</t>
  </si>
  <si>
    <t>Verrado Heritage Elementary School</t>
  </si>
  <si>
    <t>20895 W. Hamilton Street</t>
  </si>
  <si>
    <t>Cartwright Elementary District</t>
  </si>
  <si>
    <t>Gruman</t>
  </si>
  <si>
    <t>diane.gruman@csd83.org</t>
  </si>
  <si>
    <t>5220 W Indian School Road</t>
  </si>
  <si>
    <t>Cartwright School</t>
  </si>
  <si>
    <t>Busalacchi</t>
  </si>
  <si>
    <t>cynthia.Busalacchi@csd83.org</t>
  </si>
  <si>
    <t>2825 N 59th Avenue</t>
  </si>
  <si>
    <t>Glenn L. Downs School</t>
  </si>
  <si>
    <t>Priscilla</t>
  </si>
  <si>
    <t>Perez</t>
  </si>
  <si>
    <t>Priscilla.Perez@csd83.org</t>
  </si>
  <si>
    <t>3600 N. 47th Avenue</t>
  </si>
  <si>
    <t>John F. Long</t>
  </si>
  <si>
    <t>Yovanna</t>
  </si>
  <si>
    <t>Jimenez</t>
  </si>
  <si>
    <t>yovanna.jimenez@csd83.org</t>
  </si>
  <si>
    <t>4407 N. 55th Avenue</t>
  </si>
  <si>
    <t>Justine Spitalny School</t>
  </si>
  <si>
    <t>Yesenia</t>
  </si>
  <si>
    <t>Aguliar</t>
  </si>
  <si>
    <t>yesenia.aguliar@csd83.org</t>
  </si>
  <si>
    <t>3201 N. 46th Drive</t>
  </si>
  <si>
    <t>Holiday Park School</t>
  </si>
  <si>
    <t>Ludivina</t>
  </si>
  <si>
    <t>ludivina.gomez@csd83.org</t>
  </si>
  <si>
    <t>4417 N 66th Avenue</t>
  </si>
  <si>
    <t>Gonzales</t>
  </si>
  <si>
    <t>debra.gonzales@csd83.org</t>
  </si>
  <si>
    <t>6602 W. Osborn</t>
  </si>
  <si>
    <t>Starlight Park School</t>
  </si>
  <si>
    <t>Michelle.more@csd83.org</t>
  </si>
  <si>
    <t>7960 W. Osborn</t>
  </si>
  <si>
    <t>Charles W. Harris School</t>
  </si>
  <si>
    <t>Netchanok</t>
  </si>
  <si>
    <t>Aphaisuwan</t>
  </si>
  <si>
    <t>natty.aphaisuwan@csd83.org</t>
  </si>
  <si>
    <t>2252 N. 55th Avenue</t>
  </si>
  <si>
    <t>Desert Sands Middle School</t>
  </si>
  <si>
    <t>Felicitas</t>
  </si>
  <si>
    <t>Preciado</t>
  </si>
  <si>
    <t>Felicitas.preciado@csd83.org</t>
  </si>
  <si>
    <t>6308 W. Campbell</t>
  </si>
  <si>
    <t>Frank Borman School</t>
  </si>
  <si>
    <t>Bonnie</t>
  </si>
  <si>
    <t>Poca</t>
  </si>
  <si>
    <t>Bonnie.poca@csd83.org</t>
  </si>
  <si>
    <t>3637 N. 55th Avenue</t>
  </si>
  <si>
    <t>Heatherbrae School</t>
  </si>
  <si>
    <t>Victoria</t>
  </si>
  <si>
    <t>Rizo</t>
  </si>
  <si>
    <t>Victoria.Rizo@csd83.org</t>
  </si>
  <si>
    <t>7070 W. Heatherbrae</t>
  </si>
  <si>
    <t>Estrella Middle School</t>
  </si>
  <si>
    <t>Yolanda</t>
  </si>
  <si>
    <t>serrano</t>
  </si>
  <si>
    <t>Yolanda.serrano@csd83.org</t>
  </si>
  <si>
    <t>3733 N.75th Avenue</t>
  </si>
  <si>
    <t>Palm Lane</t>
  </si>
  <si>
    <t>Tostado</t>
  </si>
  <si>
    <t>maria.tostado@csd83.org</t>
  </si>
  <si>
    <t>2043 N 64th Drive</t>
  </si>
  <si>
    <t>Peralta School</t>
  </si>
  <si>
    <t>Moya</t>
  </si>
  <si>
    <t>anna.moya@csd83.org</t>
  </si>
  <si>
    <t>7125 W. Encanto Blvd</t>
  </si>
  <si>
    <t>Byron A. Barry School</t>
  </si>
  <si>
    <t>Wanna</t>
  </si>
  <si>
    <t>Wattanawat</t>
  </si>
  <si>
    <t>Cafe manager</t>
  </si>
  <si>
    <t>wanna.wattanawat@csd83.org</t>
  </si>
  <si>
    <t>2533 N 60 Ave</t>
  </si>
  <si>
    <t>Phx</t>
  </si>
  <si>
    <t>Tomahawk School</t>
  </si>
  <si>
    <t>patricia.rodriguez@csd83.org</t>
  </si>
  <si>
    <t>7820 W.Turney</t>
  </si>
  <si>
    <t>G. Frank Davidson</t>
  </si>
  <si>
    <t>Yanez</t>
  </si>
  <si>
    <t>Maria.yanez@csd83.org</t>
  </si>
  <si>
    <t>6935 W. Osborn</t>
  </si>
  <si>
    <t>Marc T. Atkinson Middle School</t>
  </si>
  <si>
    <t>Fabiolia</t>
  </si>
  <si>
    <t>fabiolia.rodriguez@csd83.org</t>
  </si>
  <si>
    <t>4315 N. Maryvale Pkwy</t>
  </si>
  <si>
    <t>Bret R. Tarver</t>
  </si>
  <si>
    <t>Fabolia</t>
  </si>
  <si>
    <t>fabolia.rodriguez@csd83.org</t>
  </si>
  <si>
    <t>4315 N. Maryvale Parkway</t>
  </si>
  <si>
    <t>St. Vincent de Paul</t>
  </si>
  <si>
    <t>Perieda</t>
  </si>
  <si>
    <t>Linda.King@csd83.org</t>
  </si>
  <si>
    <t>3130 N. 51st Avenue</t>
  </si>
  <si>
    <t>Manuel Pena Jr. School</t>
  </si>
  <si>
    <t>susan</t>
  </si>
  <si>
    <t>Pendergrass</t>
  </si>
  <si>
    <t>Receiving Kitchen Manager</t>
  </si>
  <si>
    <t>susan.pendergrass@csd83.org</t>
  </si>
  <si>
    <t>2550 N. 79th Avenue</t>
  </si>
  <si>
    <t>Raul H. Castro Middle School</t>
  </si>
  <si>
    <t>Base Kitchen Manager</t>
  </si>
  <si>
    <t>lorena.ramirez@csd83.org</t>
  </si>
  <si>
    <t>2730 N. 79th Avenue</t>
  </si>
  <si>
    <t>Pioneer Preparatory - A Challenge Foundation</t>
  </si>
  <si>
    <t>Lemerond</t>
  </si>
  <si>
    <t>susan.lemerond@csd83.org</t>
  </si>
  <si>
    <t>Phoenox</t>
  </si>
  <si>
    <t>6510 W Claredon Ave</t>
  </si>
  <si>
    <t>Southwest Academy</t>
  </si>
  <si>
    <t>angela.rodriguez@csd83.org</t>
  </si>
  <si>
    <t>4018 N 67 Ave</t>
  </si>
  <si>
    <t>Pendergast Elementary District</t>
  </si>
  <si>
    <t>Joanne</t>
  </si>
  <si>
    <t>Fimbres</t>
  </si>
  <si>
    <t>Chief Financial Officer</t>
  </si>
  <si>
    <t>jfimbres@pesd92.org</t>
  </si>
  <si>
    <t>3802  N. 91st Avenue</t>
  </si>
  <si>
    <t>Pendergast Elementary School</t>
  </si>
  <si>
    <t>ndominguez@pesd92.org</t>
  </si>
  <si>
    <t>3800  N. 91st Ave.</t>
  </si>
  <si>
    <t>Desert Horizon Elementary School</t>
  </si>
  <si>
    <t>Cafeteria Manger</t>
  </si>
  <si>
    <t>saramirez@pesd92.org</t>
  </si>
  <si>
    <t>8525 W. Osborn</t>
  </si>
  <si>
    <t>Villa De Paz Elementary School</t>
  </si>
  <si>
    <t>Dailia</t>
  </si>
  <si>
    <t>dcastro@pesd92.org</t>
  </si>
  <si>
    <t>4940 N. 103rd Avenue</t>
  </si>
  <si>
    <t>Garden Lakes Elementary School</t>
  </si>
  <si>
    <t>Vega</t>
  </si>
  <si>
    <t>mavega@pesd92.org</t>
  </si>
  <si>
    <t>10825 W. Garden Lakes Parkway</t>
  </si>
  <si>
    <t>Desert Mirage Elementary School</t>
  </si>
  <si>
    <t>aramirez@pesd92.org</t>
  </si>
  <si>
    <t>8605 W. Maryland</t>
  </si>
  <si>
    <t>Copper King Elementary</t>
  </si>
  <si>
    <t>Gurrola</t>
  </si>
  <si>
    <t>kgurrola@pesd92.org</t>
  </si>
  <si>
    <t>10730 W. Campbell</t>
  </si>
  <si>
    <t>Canyon Breeze Elementary</t>
  </si>
  <si>
    <t>Melina</t>
  </si>
  <si>
    <t>Osuna</t>
  </si>
  <si>
    <t>mosuna@pesd92.org</t>
  </si>
  <si>
    <t>11675 W. Encanto</t>
  </si>
  <si>
    <t>Marilyn</t>
  </si>
  <si>
    <t>Hale</t>
  </si>
  <si>
    <t>mhale@pesd92.org</t>
  </si>
  <si>
    <t>10150 W.  Missouri Ave</t>
  </si>
  <si>
    <t>Rio Vista Elementary</t>
  </si>
  <si>
    <t>Lily</t>
  </si>
  <si>
    <t>Escoto</t>
  </si>
  <si>
    <t>lescoto@pesd92.org</t>
  </si>
  <si>
    <t>10237 W. Encanto Blvd</t>
  </si>
  <si>
    <t>Westwind Elementary School</t>
  </si>
  <si>
    <t>Brunston</t>
  </si>
  <si>
    <t>bbrunston@pesd92.org</t>
  </si>
  <si>
    <t>9040 W. Campbell Rd.</t>
  </si>
  <si>
    <t>Sunset Ridge Elementary School</t>
  </si>
  <si>
    <t>slopez@pesd92.org</t>
  </si>
  <si>
    <t>8490 W. Missouri</t>
  </si>
  <si>
    <t>Amberlea Elementary School</t>
  </si>
  <si>
    <t>Oritiz</t>
  </si>
  <si>
    <t>eoritiz@pesd92.org</t>
  </si>
  <si>
    <t>8455 W.  Virginia</t>
  </si>
  <si>
    <t>Buckeye Union High School District</t>
  </si>
  <si>
    <t>Jeff</t>
  </si>
  <si>
    <t>Simmons</t>
  </si>
  <si>
    <t>Associate Superintendent of Operations</t>
  </si>
  <si>
    <t>jsimmons@buhsd.org</t>
  </si>
  <si>
    <t>1000 East Narramore Avenue</t>
  </si>
  <si>
    <t>Buckeye Union High School</t>
  </si>
  <si>
    <t>Hilda</t>
  </si>
  <si>
    <t>Alvarado</t>
  </si>
  <si>
    <t>hilda.alvarado@buhsd.org</t>
  </si>
  <si>
    <t>Estrella Foothills High School</t>
  </si>
  <si>
    <t>Administrative Asst.</t>
  </si>
  <si>
    <t>13033 S Estrella Parkway</t>
  </si>
  <si>
    <t>Youngker High School</t>
  </si>
  <si>
    <t>3000 South Apache Road</t>
  </si>
  <si>
    <t>Glendale Union High School District</t>
  </si>
  <si>
    <t>Yome</t>
  </si>
  <si>
    <t>Gokool</t>
  </si>
  <si>
    <t>yome.quach@guhsdaz.org</t>
  </si>
  <si>
    <t>7650 N. 43rd Ave</t>
  </si>
  <si>
    <t>Glendale High School</t>
  </si>
  <si>
    <t>ana.perez@guhsdaz.org</t>
  </si>
  <si>
    <t>7650 N. 43rd Ave.</t>
  </si>
  <si>
    <t>6216 W. Glendale Ave.</t>
  </si>
  <si>
    <t>Sunnyslope High School</t>
  </si>
  <si>
    <t>Christy</t>
  </si>
  <si>
    <t>Buchanan</t>
  </si>
  <si>
    <t>christy.buchanan@guhsdaz.org</t>
  </si>
  <si>
    <t>35 W. Dunlap Ave.</t>
  </si>
  <si>
    <t>Washington High School</t>
  </si>
  <si>
    <t>Daniel</t>
  </si>
  <si>
    <t>Cruz</t>
  </si>
  <si>
    <t>daniel.cruz@guhsdaz.org</t>
  </si>
  <si>
    <t>2217 W. Glendale Ave.</t>
  </si>
  <si>
    <t>Cortez High School</t>
  </si>
  <si>
    <t>Evanjelina.mendoza@guhsdaz.org</t>
  </si>
  <si>
    <t>8828 N 31st Ave</t>
  </si>
  <si>
    <t>Moon Valley High School</t>
  </si>
  <si>
    <t>Brad</t>
  </si>
  <si>
    <t>Doyle</t>
  </si>
  <si>
    <t>brad.doyle@guhsdaz.org</t>
  </si>
  <si>
    <t>7650 N. 43rd. Ave.</t>
  </si>
  <si>
    <t>3625 W. Cactus Rd.</t>
  </si>
  <si>
    <t>Apollo High School</t>
  </si>
  <si>
    <t>paula.perez@guhsdaz.org</t>
  </si>
  <si>
    <t>8045 N. 47th Ave.</t>
  </si>
  <si>
    <t>Thunderbird High School</t>
  </si>
  <si>
    <t>Carey</t>
  </si>
  <si>
    <t>Trioli</t>
  </si>
  <si>
    <t>carey.trioli@guhsdaz.org</t>
  </si>
  <si>
    <t>7650 N. 43rd Av.e</t>
  </si>
  <si>
    <t>1750 W. Thunderbird Rd.</t>
  </si>
  <si>
    <t>Greenway High School</t>
  </si>
  <si>
    <t>Yurina</t>
  </si>
  <si>
    <t>de Cortes</t>
  </si>
  <si>
    <t>yurina.decortes@guhsdaz.org</t>
  </si>
  <si>
    <t>3930 W. Greenway Rd.</t>
  </si>
  <si>
    <t>Independence High School</t>
  </si>
  <si>
    <t>Kristiin</t>
  </si>
  <si>
    <t>Latraille</t>
  </si>
  <si>
    <t>kristin.latraille@guhsdaz.org</t>
  </si>
  <si>
    <t>6602 N. 75th Ave.</t>
  </si>
  <si>
    <t>Phoenix Union High School District</t>
  </si>
  <si>
    <t>Cohen</t>
  </si>
  <si>
    <t>ncohen@phoenixunion.org</t>
  </si>
  <si>
    <t>4502 N Central Avenue</t>
  </si>
  <si>
    <t>PUHSD Food Services</t>
  </si>
  <si>
    <t>Alhambra High School</t>
  </si>
  <si>
    <t>Merlin</t>
  </si>
  <si>
    <t>Argueta-Flores</t>
  </si>
  <si>
    <t>argueta-flores@PhoenixUnion.org</t>
  </si>
  <si>
    <t>4444 N. 7th Street</t>
  </si>
  <si>
    <t>3839 W. Camelback Road</t>
  </si>
  <si>
    <t>Trevor Browne High School</t>
  </si>
  <si>
    <t>Jose</t>
  </si>
  <si>
    <t>jvalenzuela@PhoenixUnion.ORG</t>
  </si>
  <si>
    <t>7402 W. Catalina Dr.</t>
  </si>
  <si>
    <t>Camelback High School</t>
  </si>
  <si>
    <t>Archibeque</t>
  </si>
  <si>
    <t>archibeque@PhoenixUnion.org</t>
  </si>
  <si>
    <t>4612 N. 28th Street</t>
  </si>
  <si>
    <t>Central High School</t>
  </si>
  <si>
    <t>grodriguez@PhoenixUnion.org</t>
  </si>
  <si>
    <t>4525 N. Central Avenue</t>
  </si>
  <si>
    <t>Carl Hayden High School</t>
  </si>
  <si>
    <t>Terese</t>
  </si>
  <si>
    <t>Murch</t>
  </si>
  <si>
    <t>murch@PhoenixUnion.org</t>
  </si>
  <si>
    <t>3333 W. Roosevelt</t>
  </si>
  <si>
    <t>Maryvale High School</t>
  </si>
  <si>
    <t>Zaragoza</t>
  </si>
  <si>
    <t>yzaragoza@PhoenixUnion.org</t>
  </si>
  <si>
    <t>3415 N. 59th Avenue</t>
  </si>
  <si>
    <t>North High School</t>
  </si>
  <si>
    <t>Stewart</t>
  </si>
  <si>
    <t>kstewart@PhoenixUnion.org</t>
  </si>
  <si>
    <t>1101 E. Thomas</t>
  </si>
  <si>
    <t>South Mountain High School</t>
  </si>
  <si>
    <t>Farinas</t>
  </si>
  <si>
    <t>farinas@PhoenixUnion.org</t>
  </si>
  <si>
    <t>5401 S. 7th Street</t>
  </si>
  <si>
    <t>Metro Tech High School</t>
  </si>
  <si>
    <t>Armenta</t>
  </si>
  <si>
    <t>Program Supervisor</t>
  </si>
  <si>
    <t>oarmenta@phoenixunion.org</t>
  </si>
  <si>
    <t>1900 W. Thomas Rd</t>
  </si>
  <si>
    <t>Bostrom Alternative Center</t>
  </si>
  <si>
    <t>Yeiny</t>
  </si>
  <si>
    <t>ymartinez1@PhoenixUnion.org</t>
  </si>
  <si>
    <t>Phoenx</t>
  </si>
  <si>
    <t>3535 N. 27th Ave.</t>
  </si>
  <si>
    <t>Cesar Chavez High School</t>
  </si>
  <si>
    <t>Corral</t>
  </si>
  <si>
    <t>vcorral@PhoenixUnion.org</t>
  </si>
  <si>
    <t>3921 W. Baseline Road</t>
  </si>
  <si>
    <t>Linda Abril Educational Academy</t>
  </si>
  <si>
    <t>Sherrie</t>
  </si>
  <si>
    <t>Grill Specialist</t>
  </si>
  <si>
    <t>sjohnson5@phoenixUnion.org</t>
  </si>
  <si>
    <t>3000 N 19th Ave.</t>
  </si>
  <si>
    <t>Phoenix Union Bioscience High School</t>
  </si>
  <si>
    <t>Lerma</t>
  </si>
  <si>
    <t>mlerma@PhoenixUnion.org</t>
  </si>
  <si>
    <t>512 East Pierce</t>
  </si>
  <si>
    <t>Betty Fairfax High School</t>
  </si>
  <si>
    <t>Esta</t>
  </si>
  <si>
    <t>Hendrix</t>
  </si>
  <si>
    <t>ehendrix@PhoenixUnion.org</t>
  </si>
  <si>
    <t>4444 N. 7th St.</t>
  </si>
  <si>
    <t>8225 S. 59th Ave.</t>
  </si>
  <si>
    <t>Franklin Police and Fire High School</t>
  </si>
  <si>
    <t>Mary Ann</t>
  </si>
  <si>
    <t>Gauno</t>
  </si>
  <si>
    <t>gauno@PhoenixUnion.org</t>
  </si>
  <si>
    <t>1645 W. McDowell Road</t>
  </si>
  <si>
    <t>Phoenix Union-Wilson College Preparatory</t>
  </si>
  <si>
    <t>Marcus</t>
  </si>
  <si>
    <t>Soto</t>
  </si>
  <si>
    <t>Kitchen Assistant</t>
  </si>
  <si>
    <t>msoto2@phoenixunion.org</t>
  </si>
  <si>
    <t>3005 E Fillmore Street</t>
  </si>
  <si>
    <t>Phoenix Coding Academy</t>
  </si>
  <si>
    <t>argueta-flores@phoenixunion.org</t>
  </si>
  <si>
    <t>4445 N Central Ave</t>
  </si>
  <si>
    <t>Tempe Union High School District</t>
  </si>
  <si>
    <t>Swendseid</t>
  </si>
  <si>
    <t>mswendseid@tempeunion.org</t>
  </si>
  <si>
    <t>500 W. Guadalupe</t>
  </si>
  <si>
    <t>Tempe High School</t>
  </si>
  <si>
    <t>Magdalena</t>
  </si>
  <si>
    <t>Villa-Reyes</t>
  </si>
  <si>
    <t>mreyes@tempeunion.org</t>
  </si>
  <si>
    <t>1730 S. Mill AVE</t>
  </si>
  <si>
    <t>Mcclintock High School</t>
  </si>
  <si>
    <t>Jahernandez@tempeunion.org</t>
  </si>
  <si>
    <t>1830 E. Del Rio Dr.</t>
  </si>
  <si>
    <t>Marcos De Niza High School</t>
  </si>
  <si>
    <t>Cristina</t>
  </si>
  <si>
    <t>Ramos</t>
  </si>
  <si>
    <t>cramos@tempeunion.org</t>
  </si>
  <si>
    <t>6000 So. Lakeshore Dr.</t>
  </si>
  <si>
    <t>Corona Del Sol High School</t>
  </si>
  <si>
    <t>Armida</t>
  </si>
  <si>
    <t>achavez@tempeunion.org</t>
  </si>
  <si>
    <t>500 W. Guadalupe Rd.</t>
  </si>
  <si>
    <t>1001 E. Knox Rd.</t>
  </si>
  <si>
    <t>Mountain Pointe High School</t>
  </si>
  <si>
    <t>Danny</t>
  </si>
  <si>
    <t>danmartinez@tempeunion.org</t>
  </si>
  <si>
    <t>4201 E. Knox Rd.</t>
  </si>
  <si>
    <t>Desert Vista High School</t>
  </si>
  <si>
    <t>Baffico</t>
  </si>
  <si>
    <t>tbaffico@tempeunio.org</t>
  </si>
  <si>
    <t>16440 S. 32nd St.</t>
  </si>
  <si>
    <t>Compadre High School</t>
  </si>
  <si>
    <t>Arellano</t>
  </si>
  <si>
    <t>cafeteria manager</t>
  </si>
  <si>
    <t>iarellano@tempeunion.org</t>
  </si>
  <si>
    <t>ASU Preparatory Academy - Tempe</t>
  </si>
  <si>
    <t>500 W. Guadalupe Rd</t>
  </si>
  <si>
    <t>Tolleson Union High School District</t>
  </si>
  <si>
    <t>Kimberly</t>
  </si>
  <si>
    <t>Luvisi</t>
  </si>
  <si>
    <t>kimberly.luvisi@tuhsd.org</t>
  </si>
  <si>
    <t>9801 West Van Buren</t>
  </si>
  <si>
    <t>Tolleson Union High School</t>
  </si>
  <si>
    <t>Matthew</t>
  </si>
  <si>
    <t>Silva</t>
  </si>
  <si>
    <t>matthew.silva@tuhsd.org</t>
  </si>
  <si>
    <t>9419 West Van Buren</t>
  </si>
  <si>
    <t>Westview High School</t>
  </si>
  <si>
    <t>Teri</t>
  </si>
  <si>
    <t>Winburn</t>
  </si>
  <si>
    <t>teri.winburn@tuhsd.org</t>
  </si>
  <si>
    <t>10850 West Garden Lakes Parkway</t>
  </si>
  <si>
    <t>La Joya Community High School</t>
  </si>
  <si>
    <t>Mellissa</t>
  </si>
  <si>
    <t>Mellissa.winn@tuhsd.org</t>
  </si>
  <si>
    <t>11650 West Whyman Ave.</t>
  </si>
  <si>
    <t>Copper Canyon High School</t>
  </si>
  <si>
    <t>Chase</t>
  </si>
  <si>
    <t>karen.chase@tuhsd.org</t>
  </si>
  <si>
    <t>9126 W. Camelback Rd</t>
  </si>
  <si>
    <t>Sierra Linda High School</t>
  </si>
  <si>
    <t>Mayra</t>
  </si>
  <si>
    <t>Peralta</t>
  </si>
  <si>
    <t>mayra.peralta@tuhsd.org</t>
  </si>
  <si>
    <t>9801 W. Van Buren St.</t>
  </si>
  <si>
    <t>3434 South 67th Avenue</t>
  </si>
  <si>
    <t>Agua Fria Union High School District</t>
  </si>
  <si>
    <t>bduncan@aguafria.org</t>
  </si>
  <si>
    <t>1481 N. Eliseo Felix Jr. Way</t>
  </si>
  <si>
    <t>Agua Fria High School</t>
  </si>
  <si>
    <t>Darlene</t>
  </si>
  <si>
    <t>Alband</t>
  </si>
  <si>
    <t>dalband@aguafria.org</t>
  </si>
  <si>
    <t>530 E. Riley Dr.</t>
  </si>
  <si>
    <t>Millennium High School</t>
  </si>
  <si>
    <t>Mike</t>
  </si>
  <si>
    <t>Brunette</t>
  </si>
  <si>
    <t>mbrunette@aguafria.org</t>
  </si>
  <si>
    <t>14802 W Wigwam Blvd.</t>
  </si>
  <si>
    <t>Desert Edge High School</t>
  </si>
  <si>
    <t>15778 West Yuma Road</t>
  </si>
  <si>
    <t>Verrado High School</t>
  </si>
  <si>
    <t>Trish</t>
  </si>
  <si>
    <t>Welch</t>
  </si>
  <si>
    <t>twelch@aguafria.org</t>
  </si>
  <si>
    <t>20050 W. Indian School Rd.</t>
  </si>
  <si>
    <t>Canyon View High School</t>
  </si>
  <si>
    <t>6024 N. Perryville Road</t>
  </si>
  <si>
    <t>Ball Charter Schools (Hearn)</t>
  </si>
  <si>
    <t>Griner</t>
  </si>
  <si>
    <t>Nutritional Services Coordinator</t>
  </si>
  <si>
    <t>kgriner@ballcharterschools.org</t>
  </si>
  <si>
    <t>17606 N. 7th Avenue</t>
  </si>
  <si>
    <t>Hearn Academy, The - A Ball Charter School</t>
  </si>
  <si>
    <t>Shane</t>
  </si>
  <si>
    <t>Ehnes</t>
  </si>
  <si>
    <t>Business Specialist</t>
  </si>
  <si>
    <t>sehnes@ballcharterschools.org</t>
  </si>
  <si>
    <t>Florence Crittenton Services of Arizona, Inc.</t>
  </si>
  <si>
    <t>Jami</t>
  </si>
  <si>
    <t>Stiner</t>
  </si>
  <si>
    <t>Jstiner@flocrit.org</t>
  </si>
  <si>
    <t>715 W Mariposa Street</t>
  </si>
  <si>
    <t>Girls Leadership Academy of Arizona</t>
  </si>
  <si>
    <t>Food Service manager</t>
  </si>
  <si>
    <t>jstiner@flocrit.org</t>
  </si>
  <si>
    <t>715 W.  Mariposa Street</t>
  </si>
  <si>
    <t>Ridgeline Academy, Inc.</t>
  </si>
  <si>
    <t>Polsia</t>
  </si>
  <si>
    <t>Faris</t>
  </si>
  <si>
    <t>pfaris@ridgelineacademy.org</t>
  </si>
  <si>
    <t>33625 N. North Valley Parkway</t>
  </si>
  <si>
    <t>Friendly House, Inc.</t>
  </si>
  <si>
    <t>Frank</t>
  </si>
  <si>
    <t>Lomeli</t>
  </si>
  <si>
    <t>Pricipal</t>
  </si>
  <si>
    <t>frank.lomeli@academiadelpueblo.org</t>
  </si>
  <si>
    <t>113 W. Sherman St</t>
  </si>
  <si>
    <t>201 E. Durango St</t>
  </si>
  <si>
    <t>Friendly House Academia Del Pueblo Elem</t>
  </si>
  <si>
    <t>Operations Support Manager</t>
  </si>
  <si>
    <t>lorena.gutierrez@academiadelpueblo.org</t>
  </si>
  <si>
    <t>113 W. Sherman St.</t>
  </si>
  <si>
    <t>201 E. Durango</t>
  </si>
  <si>
    <t>Boys &amp; Girls Clubs of the East Valley dba Mesa Arts Academy</t>
  </si>
  <si>
    <t>Miranda</t>
  </si>
  <si>
    <t>Koperno</t>
  </si>
  <si>
    <t>miranda.koperno@clubzona.org</t>
  </si>
  <si>
    <t>221 W. 6th Ave</t>
  </si>
  <si>
    <t>Mesa Arts Academy</t>
  </si>
  <si>
    <t>Dolores</t>
  </si>
  <si>
    <t>Quintero</t>
  </si>
  <si>
    <t>Registrar</t>
  </si>
  <si>
    <t>Dolores.quintero@clubzona.org</t>
  </si>
  <si>
    <t>Maricopa County Community College District dba Gateway Early College High School</t>
  </si>
  <si>
    <t>Stacey</t>
  </si>
  <si>
    <t>Boyd</t>
  </si>
  <si>
    <t>Director of Federal Programs</t>
  </si>
  <si>
    <t>stacey.boyd@gatewaycc.edu</t>
  </si>
  <si>
    <t>108 North 40th Street</t>
  </si>
  <si>
    <t>Gateway Early College High School</t>
  </si>
  <si>
    <t>108 N 40th street</t>
  </si>
  <si>
    <t>Salt River Pima-Maricopa  Community Schools</t>
  </si>
  <si>
    <t>Reina</t>
  </si>
  <si>
    <t>shannon.reina@saltriverschools.org</t>
  </si>
  <si>
    <t>10005 E. Osborn Road</t>
  </si>
  <si>
    <t>4827 N. Country Club</t>
  </si>
  <si>
    <t>Salt River High School</t>
  </si>
  <si>
    <t>Food Service Kitchen Supervisor</t>
  </si>
  <si>
    <t>Shannon.Reina@srpmic-ed.org</t>
  </si>
  <si>
    <t>10005 E. Osborn</t>
  </si>
  <si>
    <t>4827 N. Country Club Drive</t>
  </si>
  <si>
    <t>Salt River Elementary School</t>
  </si>
  <si>
    <t>michelle.kelly@srpmic-ed.org</t>
  </si>
  <si>
    <t>11514 East Highland Avenue</t>
  </si>
  <si>
    <t>Early Childhood Education Center</t>
  </si>
  <si>
    <t>4815 N. Center</t>
  </si>
  <si>
    <t>Salt River Accelerated Learning Academy</t>
  </si>
  <si>
    <t>Food Service  Manager</t>
  </si>
  <si>
    <t>Shannon.Reina@saltriverschools.org</t>
  </si>
  <si>
    <t>1759 N. Longmore Road</t>
  </si>
  <si>
    <t>Acclaim Charter School</t>
  </si>
  <si>
    <t>Coordinator</t>
  </si>
  <si>
    <t>jmartinez@acclaimacademy.org</t>
  </si>
  <si>
    <t>7624 West Indian School Rd.</t>
  </si>
  <si>
    <t>ACCLAIM Academy</t>
  </si>
  <si>
    <t>Program Coordinator</t>
  </si>
  <si>
    <t>Espiritu Community Development Corp.</t>
  </si>
  <si>
    <t>Fernando</t>
  </si>
  <si>
    <t>fruiz0813@gmail.com</t>
  </si>
  <si>
    <t>222 East Olympic</t>
  </si>
  <si>
    <t>NFL YET College Prep Academy</t>
  </si>
  <si>
    <t>fruiz@espiritu.org</t>
  </si>
  <si>
    <t>Phoenix Advantage Charter School, Inc.</t>
  </si>
  <si>
    <t>Rochelle</t>
  </si>
  <si>
    <t>Elliott</t>
  </si>
  <si>
    <t>CEO/Principal</t>
  </si>
  <si>
    <t>relliott@phoenixadvantage.org</t>
  </si>
  <si>
    <t>3738 North 16th Street</t>
  </si>
  <si>
    <t>Phoenix Advantage Charter School</t>
  </si>
  <si>
    <t>Office Manager</t>
  </si>
  <si>
    <t>dalvarez@phoenixadvantage.org</t>
  </si>
  <si>
    <t>3738 N. 16th Street</t>
  </si>
  <si>
    <t>EduPreneurship, Inc.</t>
  </si>
  <si>
    <t>Bernal</t>
  </si>
  <si>
    <t>mbernal@esckids.com</t>
  </si>
  <si>
    <t>7310 N. 27th Ave</t>
  </si>
  <si>
    <t>Temporary Assignment to Kariann Gallegos</t>
  </si>
  <si>
    <t>EduPreneurship Student Center (ESC) Phoenix</t>
  </si>
  <si>
    <t>Kaizen Education Foundation dba El Dorado High School</t>
  </si>
  <si>
    <t>Heather</t>
  </si>
  <si>
    <t>NSLP Administrator</t>
  </si>
  <si>
    <t>heather.williams@leonagroup.com</t>
  </si>
  <si>
    <t>7500 N Dreamy Draw Dr, Suite 200</t>
  </si>
  <si>
    <t>Zavala</t>
  </si>
  <si>
    <t>christina.zavala@leonagroup.com</t>
  </si>
  <si>
    <t>2200 N Arizona Rd</t>
  </si>
  <si>
    <t>Glenview College Preparatory High School</t>
  </si>
  <si>
    <t>Stephanie</t>
  </si>
  <si>
    <t>Vallecillo</t>
  </si>
  <si>
    <t>stephanie.vallecillo@leonagroup.com</t>
  </si>
  <si>
    <t>4730 W Campbell Ave</t>
  </si>
  <si>
    <t>American Leadership Academy, Inc.</t>
  </si>
  <si>
    <t>Plowman</t>
  </si>
  <si>
    <t>SFA</t>
  </si>
  <si>
    <t>rplowman@charter.one</t>
  </si>
  <si>
    <t>19935 E. Chandler Heights Rd.</t>
  </si>
  <si>
    <t>ALA San Tan</t>
  </si>
  <si>
    <t>Torres DeParra</t>
  </si>
  <si>
    <t>Kitchen Supervisor</t>
  </si>
  <si>
    <t>alma.torresdeparra@sodexo.com</t>
  </si>
  <si>
    <t>34696 N. Village Lane</t>
  </si>
  <si>
    <t>American Leadership Academy Anthem South Campus</t>
  </si>
  <si>
    <t>Lizbeth</t>
  </si>
  <si>
    <t>Pinedo</t>
  </si>
  <si>
    <t>lizbeth.pinedo@sodxo.com</t>
  </si>
  <si>
    <t>4380 N. HUnt Highway</t>
  </si>
  <si>
    <t>Florence</t>
  </si>
  <si>
    <t>American Leadership Academy - Ironwood</t>
  </si>
  <si>
    <t>Gerard</t>
  </si>
  <si>
    <t>sonia.gerard@sodexo.com</t>
  </si>
  <si>
    <t>650 W. Combs</t>
  </si>
  <si>
    <t>American Leadership Academy Signal Butte</t>
  </si>
  <si>
    <t>Weaver</t>
  </si>
  <si>
    <t>cheryl.weaver@sodexo.com</t>
  </si>
  <si>
    <t>22512 S. Signal Butte Rd</t>
  </si>
  <si>
    <t>Victory High School, Inc.</t>
  </si>
  <si>
    <t>Jacque.Jackson@asu.edu</t>
  </si>
  <si>
    <t>1650 West Southern Avenue</t>
  </si>
  <si>
    <t>Victory High School - Campus</t>
  </si>
  <si>
    <t>New Horizon School for the Performing Arts</t>
  </si>
  <si>
    <t>Tania</t>
  </si>
  <si>
    <t>Alba Gonzalez</t>
  </si>
  <si>
    <t>Lunch Coordinator</t>
  </si>
  <si>
    <t>tania@nhorizon.net</t>
  </si>
  <si>
    <t>446 E. Broadway Rd.</t>
  </si>
  <si>
    <t>Lake Havasu Unified District</t>
  </si>
  <si>
    <t>Anne</t>
  </si>
  <si>
    <t>Taffe</t>
  </si>
  <si>
    <t>Child Nutrition Supervisor</t>
  </si>
  <si>
    <t>ataffe@havasu.k12.az.us</t>
  </si>
  <si>
    <t>2200 Havasupai Blvd.</t>
  </si>
  <si>
    <t>Lake Havasu City</t>
  </si>
  <si>
    <t>Smoketree Elementary School</t>
  </si>
  <si>
    <t>2395 Smoketree Ave.</t>
  </si>
  <si>
    <t>Thunderbolt Middle School</t>
  </si>
  <si>
    <t>695 Thunderbolt Ave.</t>
  </si>
  <si>
    <t>Havasupai Elementary School</t>
  </si>
  <si>
    <t>880 Cashmere Blvd.</t>
  </si>
  <si>
    <t>Starline Elementary School</t>
  </si>
  <si>
    <t>3150 Starline Dr.</t>
  </si>
  <si>
    <t>Nautilus Elementary School</t>
  </si>
  <si>
    <t>1425 Patrician Dr.</t>
  </si>
  <si>
    <t>Oro Grande Classical Academy</t>
  </si>
  <si>
    <t>2200 Havasupai Blvd</t>
  </si>
  <si>
    <t>1250 Pawnee Dr.</t>
  </si>
  <si>
    <t>Lake Havasu High School</t>
  </si>
  <si>
    <t>2675 S. Palo Verde Blvd</t>
  </si>
  <si>
    <t>Jamaica Elementary School</t>
  </si>
  <si>
    <t>3437 Jamaica Blvd.</t>
  </si>
  <si>
    <t>Peach Springs Unified District</t>
  </si>
  <si>
    <t>Sally</t>
  </si>
  <si>
    <t>Dexter</t>
  </si>
  <si>
    <t>kitchen manager consultant</t>
  </si>
  <si>
    <t>sdexter1@aol.com</t>
  </si>
  <si>
    <t>P.O. Box 360</t>
  </si>
  <si>
    <t>Peach Springs</t>
  </si>
  <si>
    <t>403 Diamond Creek Rd.</t>
  </si>
  <si>
    <t>Peach Springs School</t>
  </si>
  <si>
    <t>Colorado City Unified District</t>
  </si>
  <si>
    <t>Susie</t>
  </si>
  <si>
    <t>Dutson</t>
  </si>
  <si>
    <t>susie@elcap.us</t>
  </si>
  <si>
    <t>po box 309</t>
  </si>
  <si>
    <t>colorado city</t>
  </si>
  <si>
    <t>255 N. Cottenwood St.</t>
  </si>
  <si>
    <t>El Capitan Public School</t>
  </si>
  <si>
    <t>food service director</t>
  </si>
  <si>
    <t>255 N. cottenwood St.</t>
  </si>
  <si>
    <t>Cottonwood Elementary</t>
  </si>
  <si>
    <t>PO Box 309</t>
  </si>
  <si>
    <t>Colorado City</t>
  </si>
  <si>
    <t>185 University Ave</t>
  </si>
  <si>
    <t>Hackberry School District</t>
  </si>
  <si>
    <t>Nicki</t>
  </si>
  <si>
    <t>Gunckel</t>
  </si>
  <si>
    <t>ngunckel@hesd.net</t>
  </si>
  <si>
    <t>9501 Nellie Dr.</t>
  </si>
  <si>
    <t>Kingman</t>
  </si>
  <si>
    <t>Cedar Hills School</t>
  </si>
  <si>
    <t>9501 Nellie Drive</t>
  </si>
  <si>
    <t>Owens School District No.6</t>
  </si>
  <si>
    <t>Ashley</t>
  </si>
  <si>
    <t>Richards</t>
  </si>
  <si>
    <t>ashley.r@owens-whitney.org</t>
  </si>
  <si>
    <t>Wikieup</t>
  </si>
  <si>
    <t>14109 E. Chicken Springs Road</t>
  </si>
  <si>
    <t>Temporary Assignment to Jessica Krug</t>
  </si>
  <si>
    <t>Owens Elementary School</t>
  </si>
  <si>
    <t>P. O. Box 38</t>
  </si>
  <si>
    <t>Littlefield Unified District</t>
  </si>
  <si>
    <t>Susan C</t>
  </si>
  <si>
    <t>Burch</t>
  </si>
  <si>
    <t>sburch@lusd9.com</t>
  </si>
  <si>
    <t>P.O. BOX 730</t>
  </si>
  <si>
    <t>Beaver Dam</t>
  </si>
  <si>
    <t>3436 E. Rio Virgin Road</t>
  </si>
  <si>
    <t>Beaver Dam Elementary</t>
  </si>
  <si>
    <t>Susan C.</t>
  </si>
  <si>
    <t>3436 E. Rio Virgin Rd</t>
  </si>
  <si>
    <t>Beaver Dam High School</t>
  </si>
  <si>
    <t>Consuelo</t>
  </si>
  <si>
    <t>Food Service JR/SR High School Lead</t>
  </si>
  <si>
    <t>cavila@usld9.com</t>
  </si>
  <si>
    <t>P.O. Box 730</t>
  </si>
  <si>
    <t>3475 East Rio Virgin Road</t>
  </si>
  <si>
    <t>Topock Elementary District</t>
  </si>
  <si>
    <t>John</t>
  </si>
  <si>
    <t>Warren</t>
  </si>
  <si>
    <t>jwarren@topockschool.com</t>
  </si>
  <si>
    <t>P. O. Box 370</t>
  </si>
  <si>
    <t>Topock</t>
  </si>
  <si>
    <t>5083 Tule Drive</t>
  </si>
  <si>
    <t>Topock Elementary School</t>
  </si>
  <si>
    <t>Burns</t>
  </si>
  <si>
    <t>aburns@topockschool.com</t>
  </si>
  <si>
    <t>PO BOX 370</t>
  </si>
  <si>
    <t>Yucca Elementary District</t>
  </si>
  <si>
    <t>Vincent</t>
  </si>
  <si>
    <t>Head Teacher</t>
  </si>
  <si>
    <t>debbie.vincent@mohavecounty.us</t>
  </si>
  <si>
    <t>P.O. Box 128</t>
  </si>
  <si>
    <t>Yucca</t>
  </si>
  <si>
    <t>12261 S. 3rd Street</t>
  </si>
  <si>
    <t>Yucca Elementary School</t>
  </si>
  <si>
    <t>Bullhead City School District</t>
  </si>
  <si>
    <t>Sunny</t>
  </si>
  <si>
    <t>McDaniel</t>
  </si>
  <si>
    <t>NSLP Program Coordinator</t>
  </si>
  <si>
    <t>smcdaniel@crsk12.org</t>
  </si>
  <si>
    <t>1004 Hancock Road</t>
  </si>
  <si>
    <t>Bullhead City</t>
  </si>
  <si>
    <t>Coyote Canyon School</t>
  </si>
  <si>
    <t>Benje</t>
  </si>
  <si>
    <t>Hookstra</t>
  </si>
  <si>
    <t>bhookstra@crsk12.org</t>
  </si>
  <si>
    <t>1820 Lakeside</t>
  </si>
  <si>
    <t>Desert Valley School</t>
  </si>
  <si>
    <t>1066 Marina Blvd</t>
  </si>
  <si>
    <t>Diamondback Elementary School</t>
  </si>
  <si>
    <t>2550 Tesota Way</t>
  </si>
  <si>
    <t>Bullhead City Middle School</t>
  </si>
  <si>
    <t>1062 Hancock Raod</t>
  </si>
  <si>
    <t>Fox Creek Jr High School</t>
  </si>
  <si>
    <t>3101 Desert Sky Boulevard</t>
  </si>
  <si>
    <t>Sunrise Elementary</t>
  </si>
  <si>
    <t>2645 Landon Drive</t>
  </si>
  <si>
    <t>Mohave Valley Elementary District</t>
  </si>
  <si>
    <t>Margie</t>
  </si>
  <si>
    <t>Poppin</t>
  </si>
  <si>
    <t>poppinm@mvdistrict.net</t>
  </si>
  <si>
    <t>8450 S. Olive Ave.</t>
  </si>
  <si>
    <t>Mohave Valley</t>
  </si>
  <si>
    <t>Mohave Valley Junior High School</t>
  </si>
  <si>
    <t>Combs</t>
  </si>
  <si>
    <t>Chartwells FSD</t>
  </si>
  <si>
    <t>kathy.combs@compass-usa.com</t>
  </si>
  <si>
    <t>6565 Girard Ave.</t>
  </si>
  <si>
    <t>Fort Mohave Elementary School</t>
  </si>
  <si>
    <t>1760 E. Joy Lane</t>
  </si>
  <si>
    <t>Fort Mohave</t>
  </si>
  <si>
    <t>Camp Mohave Elementary School</t>
  </si>
  <si>
    <t>1797 E  La Entrada</t>
  </si>
  <si>
    <t>Colorado River Union High School District</t>
  </si>
  <si>
    <t>Roni</t>
  </si>
  <si>
    <t>Hart</t>
  </si>
  <si>
    <t>rhart@cruhsd.org</t>
  </si>
  <si>
    <t>P.O. Box 21479</t>
  </si>
  <si>
    <t>1004 Hancock Rd</t>
  </si>
  <si>
    <t>Ste 200</t>
  </si>
  <si>
    <t>Mohave High School</t>
  </si>
  <si>
    <t>PO Boc 21479</t>
  </si>
  <si>
    <t>2251 Hwy 95</t>
  </si>
  <si>
    <t>River Valley High School</t>
  </si>
  <si>
    <t>PO Box 21479</t>
  </si>
  <si>
    <t>2250 E. Laguna Rd</t>
  </si>
  <si>
    <t>CRUHSD Academy</t>
  </si>
  <si>
    <t>1820 Lakeside Dr</t>
  </si>
  <si>
    <t>Kingman Academy Of Learning</t>
  </si>
  <si>
    <t>Matthews</t>
  </si>
  <si>
    <t>Director of Finance</t>
  </si>
  <si>
    <t>smatthews@kaolaz.org</t>
  </si>
  <si>
    <t>3410 N BURBANK ST</t>
  </si>
  <si>
    <t>KINGMAN</t>
  </si>
  <si>
    <t>Kingman Academy of Learning - Primary School</t>
  </si>
  <si>
    <t>3400 N BURBANK ST</t>
  </si>
  <si>
    <t>Kingman Academy of Learning - Intermediate School</t>
  </si>
  <si>
    <t>3419 HARRISON</t>
  </si>
  <si>
    <t>Winslow Unified District</t>
  </si>
  <si>
    <t>Hosteen</t>
  </si>
  <si>
    <t>mhosteen@wusd1.org</t>
  </si>
  <si>
    <t>P O Box 580</t>
  </si>
  <si>
    <t>Winslow</t>
  </si>
  <si>
    <t>800 North Apache Avenue</t>
  </si>
  <si>
    <t>Bonnie Brennan School</t>
  </si>
  <si>
    <t>Food Services Director</t>
  </si>
  <si>
    <t>PO Box 580</t>
  </si>
  <si>
    <t>100 Cochise</t>
  </si>
  <si>
    <t>P.O. Box 580</t>
  </si>
  <si>
    <t>100 W. Mahoney Street</t>
  </si>
  <si>
    <t>Washington School</t>
  </si>
  <si>
    <t>300 West Oak</t>
  </si>
  <si>
    <t>Winslow Junior High School</t>
  </si>
  <si>
    <t>1100 N. Colorado Ave.</t>
  </si>
  <si>
    <t>Winslow High School</t>
  </si>
  <si>
    <t>600 E. Cherry Street</t>
  </si>
  <si>
    <t>Joseph City Unified District</t>
  </si>
  <si>
    <t>Selena</t>
  </si>
  <si>
    <t>Nells</t>
  </si>
  <si>
    <t>Food Service Accountant</t>
  </si>
  <si>
    <t>selenan@jcusd.org</t>
  </si>
  <si>
    <t>PO Box 8</t>
  </si>
  <si>
    <t>Joseph City</t>
  </si>
  <si>
    <t>8176 N. Westover</t>
  </si>
  <si>
    <t>Joseph City Elementary School</t>
  </si>
  <si>
    <t>Joseph City High School</t>
  </si>
  <si>
    <t>4629 E. 2nd North</t>
  </si>
  <si>
    <t>Holbrook Unified District</t>
  </si>
  <si>
    <t>W.Ray</t>
  </si>
  <si>
    <t>McLaws</t>
  </si>
  <si>
    <t>wmclaws1@holbrook.k12.az.us</t>
  </si>
  <si>
    <t>P.O.Box 640</t>
  </si>
  <si>
    <t>Holbrook</t>
  </si>
  <si>
    <t>1000 N. 8th Avenue</t>
  </si>
  <si>
    <t>Hulet Elementary School</t>
  </si>
  <si>
    <t>Norma</t>
  </si>
  <si>
    <t>Lead</t>
  </si>
  <si>
    <t>ngarcia@holbrook.k12.az.us</t>
  </si>
  <si>
    <t>600 W. Buffalo</t>
  </si>
  <si>
    <t>Park Elementary School</t>
  </si>
  <si>
    <t>Randi</t>
  </si>
  <si>
    <t>White</t>
  </si>
  <si>
    <t>rwhite1@holbrook.k12.az.us</t>
  </si>
  <si>
    <t>453 N. 7th Avenue</t>
  </si>
  <si>
    <t>Holbrook Junior High School</t>
  </si>
  <si>
    <t>QuezadaCuestas</t>
  </si>
  <si>
    <t>mquezadacuesras@holbrook.k12.az.us</t>
  </si>
  <si>
    <t>412 W. Buffalo</t>
  </si>
  <si>
    <t>Holbrook High School</t>
  </si>
  <si>
    <t>Barela</t>
  </si>
  <si>
    <t>karene@holbrook.k12.az.us</t>
  </si>
  <si>
    <t>455  N. 8th Avenue</t>
  </si>
  <si>
    <t>Navajo County Instruction for Success (NCIS)</t>
  </si>
  <si>
    <t>Arend</t>
  </si>
  <si>
    <t>nicole.arend@navajocountyaz.gov</t>
  </si>
  <si>
    <t>294 W. Carlos</t>
  </si>
  <si>
    <t>Indian Wells Elementary</t>
  </si>
  <si>
    <t>Stella</t>
  </si>
  <si>
    <t>Gishia</t>
  </si>
  <si>
    <t>sgishie1@holbrook.k12.az.us</t>
  </si>
  <si>
    <t>Rt. 15 and 77</t>
  </si>
  <si>
    <t>Indian Wells</t>
  </si>
  <si>
    <t>Pinon Unified District</t>
  </si>
  <si>
    <t>Bobbie</t>
  </si>
  <si>
    <t>Slivers</t>
  </si>
  <si>
    <t>bslivers@pusdatsa.org</t>
  </si>
  <si>
    <t>PO Box 839</t>
  </si>
  <si>
    <t>Pinon</t>
  </si>
  <si>
    <t>1 mile north on Pinon Navajo route 41</t>
  </si>
  <si>
    <t>Pinon Elementary School</t>
  </si>
  <si>
    <t>Rosita</t>
  </si>
  <si>
    <t>Monroe</t>
  </si>
  <si>
    <t>Site Leader</t>
  </si>
  <si>
    <t>RMonroe@pusdatsa.org</t>
  </si>
  <si>
    <t>P.O. Box 839</t>
  </si>
  <si>
    <t>1 mile north on route 41</t>
  </si>
  <si>
    <t>Pinon Accelerated Middle School</t>
  </si>
  <si>
    <t>Gladys</t>
  </si>
  <si>
    <t>Tullie</t>
  </si>
  <si>
    <t>GTullie@pusdatsa.org</t>
  </si>
  <si>
    <t>P.O Box 839</t>
  </si>
  <si>
    <t>1 mile North of Pinon on navajo Rt.41</t>
  </si>
  <si>
    <t>Pinon High School</t>
  </si>
  <si>
    <t>Jjoe@pusdatsa.org</t>
  </si>
  <si>
    <t>1 mile North of pinon navajo Rt 41</t>
  </si>
  <si>
    <t>Snowflake Unified District</t>
  </si>
  <si>
    <t>Mark</t>
  </si>
  <si>
    <t>Ollerton</t>
  </si>
  <si>
    <t>marko@snowflake.k12.az.us</t>
  </si>
  <si>
    <t>Snowflake USD #5</t>
  </si>
  <si>
    <t>682 School Bus Lane</t>
  </si>
  <si>
    <t>Snowflake</t>
  </si>
  <si>
    <t>Snowflake Intermediate School</t>
  </si>
  <si>
    <t>Thea</t>
  </si>
  <si>
    <t>Hudson</t>
  </si>
  <si>
    <t>Finance Specialist</t>
  </si>
  <si>
    <t>theah@snowflake.k12.az.us</t>
  </si>
  <si>
    <t>Snowflake USD</t>
  </si>
  <si>
    <t>62 West 2nd South</t>
  </si>
  <si>
    <t>Taylor Elementary School</t>
  </si>
  <si>
    <t>29 South 300 East</t>
  </si>
  <si>
    <t>Snowflake Junior High School</t>
  </si>
  <si>
    <t>1380 South Main</t>
  </si>
  <si>
    <t>Taylor Intermediate School</t>
  </si>
  <si>
    <t>207 North 500 West</t>
  </si>
  <si>
    <t>Snowflake High School</t>
  </si>
  <si>
    <t>190 South 2nd West</t>
  </si>
  <si>
    <t>Highland Primary School</t>
  </si>
  <si>
    <t>360 West 7th South</t>
  </si>
  <si>
    <t>Heber-Overgaard Unified District</t>
  </si>
  <si>
    <t>Samon</t>
  </si>
  <si>
    <t>brenda.samon@h-oschools.org</t>
  </si>
  <si>
    <t>POB 547</t>
  </si>
  <si>
    <t>HEBER</t>
  </si>
  <si>
    <t>Capps  Middle  School</t>
  </si>
  <si>
    <t>3375  Buckskin  Canyon  Rd.</t>
  </si>
  <si>
    <t>Heber</t>
  </si>
  <si>
    <t>Capps Elementary School</t>
  </si>
  <si>
    <t>3375 Buckskin Canyon Rd.</t>
  </si>
  <si>
    <t>Mogollon High School</t>
  </si>
  <si>
    <t>Box 279</t>
  </si>
  <si>
    <t>Mogollon  High  School</t>
  </si>
  <si>
    <t>3450  Mustang  Ave.</t>
  </si>
  <si>
    <t>Mountain Meadows Primary</t>
  </si>
  <si>
    <t>Mountain Meadow Primary</t>
  </si>
  <si>
    <t>POB 40</t>
  </si>
  <si>
    <t>Overgaard</t>
  </si>
  <si>
    <t>Mountain  Meadow  Primary</t>
  </si>
  <si>
    <t>2181 West Country Club Dr.</t>
  </si>
  <si>
    <t>Show Low Unified District</t>
  </si>
  <si>
    <t>Greg</t>
  </si>
  <si>
    <t>Schubert</t>
  </si>
  <si>
    <t>gregs@show-low.k12.az.us</t>
  </si>
  <si>
    <t>500 W. Old Linden Road</t>
  </si>
  <si>
    <t>Show Low</t>
  </si>
  <si>
    <t>Whipple Ranch Elementary School</t>
  </si>
  <si>
    <t>Jeffrey</t>
  </si>
  <si>
    <t>jeffreyh@show-low.k12.az.us</t>
  </si>
  <si>
    <t>500 W. Old Linden Rd.</t>
  </si>
  <si>
    <t>1350 N. Central Ave.</t>
  </si>
  <si>
    <t>Nikolaus Homestead Elementary School</t>
  </si>
  <si>
    <t>761 E. McNeil</t>
  </si>
  <si>
    <t>Linden Elementary School</t>
  </si>
  <si>
    <t>1009 School House Lane</t>
  </si>
  <si>
    <t>Show Low Junior High School</t>
  </si>
  <si>
    <t>Show Low High School</t>
  </si>
  <si>
    <t>1201 N. Cougar Lane</t>
  </si>
  <si>
    <t>Whiteriver Unified District</t>
  </si>
  <si>
    <t>SANDIE</t>
  </si>
  <si>
    <t>SEDILLO</t>
  </si>
  <si>
    <t>BUSINESS MANAGER</t>
  </si>
  <si>
    <t>SSEDILLO@WUSD.US</t>
  </si>
  <si>
    <t>P.O. Box 190</t>
  </si>
  <si>
    <t>Whiteriver</t>
  </si>
  <si>
    <t>959 South Chief Avenue</t>
  </si>
  <si>
    <t>Whiteriver Elementary</t>
  </si>
  <si>
    <t>Sandie</t>
  </si>
  <si>
    <t>Sedillo</t>
  </si>
  <si>
    <t>ssedillo@wusd.us</t>
  </si>
  <si>
    <t>1 North 1st Avenue</t>
  </si>
  <si>
    <t>Canyon Day Junior High School</t>
  </si>
  <si>
    <t>4621 South 9th Street</t>
  </si>
  <si>
    <t>Canyon Day</t>
  </si>
  <si>
    <t>Cradleboard School</t>
  </si>
  <si>
    <t>7301 North Powerline Road</t>
  </si>
  <si>
    <t>Alchesay High School</t>
  </si>
  <si>
    <t>422 South 2nd Street</t>
  </si>
  <si>
    <t>Seven Mile School</t>
  </si>
  <si>
    <t>2005 Fort Apache Road</t>
  </si>
  <si>
    <t>Cedar Unified District</t>
  </si>
  <si>
    <t>Gary</t>
  </si>
  <si>
    <t>Woody</t>
  </si>
  <si>
    <t>gary.woody@cusd25.k12.az.us</t>
  </si>
  <si>
    <t>P.O. Box 367</t>
  </si>
  <si>
    <t>Keams Canyon</t>
  </si>
  <si>
    <t>Hwy 264, Milepost 408</t>
  </si>
  <si>
    <t>Jeddito School</t>
  </si>
  <si>
    <t>P. O. Box 367</t>
  </si>
  <si>
    <t>Kayenta Unified School District #27</t>
  </si>
  <si>
    <t>Smith</t>
  </si>
  <si>
    <t>Acting Food Service Director</t>
  </si>
  <si>
    <t>Dorothy.Smith@kayenta.k12.az.us</t>
  </si>
  <si>
    <t>P.O. Box 337</t>
  </si>
  <si>
    <t>Kayenta</t>
  </si>
  <si>
    <t>North Highway 163</t>
  </si>
  <si>
    <t>Kayenta Middle School</t>
  </si>
  <si>
    <t>Kayenta Elementary School</t>
  </si>
  <si>
    <t>Monument Valley High School</t>
  </si>
  <si>
    <t>Blue Ridge Unified School District No. 32</t>
  </si>
  <si>
    <t>Thomas-Martinez</t>
  </si>
  <si>
    <t>Director of Finance and Business Operations</t>
  </si>
  <si>
    <t>Bthomas@brusd.org</t>
  </si>
  <si>
    <t>1200 W. White Mountain Blvd.</t>
  </si>
  <si>
    <t>Lakeside</t>
  </si>
  <si>
    <t>Blue Ridge Elementary School</t>
  </si>
  <si>
    <t>bthomas@brusd.org</t>
  </si>
  <si>
    <t>3050 N. Porter Mountain Rd</t>
  </si>
  <si>
    <t>Blue Ridge Jr High School</t>
  </si>
  <si>
    <t>1200 W White Mountain Blvd</t>
  </si>
  <si>
    <t>Blue Ridge High School</t>
  </si>
  <si>
    <t>1200 W. White Mtn. Blvd.</t>
  </si>
  <si>
    <t>Career Development, Inc.</t>
  </si>
  <si>
    <t>Bartram</t>
  </si>
  <si>
    <t>sbartram@naacharter.org</t>
  </si>
  <si>
    <t>PO Box 125</t>
  </si>
  <si>
    <t>1300 N. Centennial Blvd.</t>
  </si>
  <si>
    <t>Northern AZ Academy for Career Dev. - Taylor</t>
  </si>
  <si>
    <t>Food service director</t>
  </si>
  <si>
    <t>1300 N Centennial Blvd</t>
  </si>
  <si>
    <t>Tucson Unified District</t>
  </si>
  <si>
    <t>Lindsay</t>
  </si>
  <si>
    <t>Aguilar</t>
  </si>
  <si>
    <t>Administrative Dietitian- Site Operations Coordinator</t>
  </si>
  <si>
    <t>lindsay.aguilar@tusd1.org</t>
  </si>
  <si>
    <t>2150 E. 15th Street</t>
  </si>
  <si>
    <t>Tucson</t>
  </si>
  <si>
    <t>1010 E. 10th Street</t>
  </si>
  <si>
    <t>Blenman Elementary School</t>
  </si>
  <si>
    <t>2150 E. 15th St.</t>
  </si>
  <si>
    <t>1695 N. Country Club</t>
  </si>
  <si>
    <t>Bloom Elementary</t>
  </si>
  <si>
    <t>8310 E. Tucson</t>
  </si>
  <si>
    <t>Bonillas Elementary Basic Curriculum Magnet School</t>
  </si>
  <si>
    <t>4757 E. Winsett</t>
  </si>
  <si>
    <t>Borman Elementary School</t>
  </si>
  <si>
    <t>6630 Lightning Dr.</t>
  </si>
  <si>
    <t>Borton Primary Magnet School</t>
  </si>
  <si>
    <t>700 E. 22nd St.</t>
  </si>
  <si>
    <t>Carrillo Intermediate Magnet School</t>
  </si>
  <si>
    <t>440 S. Main Ave.</t>
  </si>
  <si>
    <t>Tcuson</t>
  </si>
  <si>
    <t>Cavett Elementary School</t>
  </si>
  <si>
    <t>2120 E. Naco Vista Dr.</t>
  </si>
  <si>
    <t>3900 N. Bear Canyon Rd.</t>
  </si>
  <si>
    <t>Cragin Elementary School</t>
  </si>
  <si>
    <t>2945 N. Tucson Blvd.</t>
  </si>
  <si>
    <t>Davidson Elementary School</t>
  </si>
  <si>
    <t>3950 E. Paradise Falls Dr.</t>
  </si>
  <si>
    <t>Davis Bilingual Magnet School</t>
  </si>
  <si>
    <t>500 W. St. Mary's Rd.</t>
  </si>
  <si>
    <t>Dietz K-8 School</t>
  </si>
  <si>
    <t>7575 E. Palma</t>
  </si>
  <si>
    <t>Drachman Primary Magnet School</t>
  </si>
  <si>
    <t>1085 S. 10th Ave.</t>
  </si>
  <si>
    <t>Dunham Elementary School</t>
  </si>
  <si>
    <t>9850 E. 29th St.</t>
  </si>
  <si>
    <t>Irene Erickson Elementary School</t>
  </si>
  <si>
    <t>6750 E. Stella Rd.</t>
  </si>
  <si>
    <t>Ford Elementary</t>
  </si>
  <si>
    <t>8001 E. Stella Rd.</t>
  </si>
  <si>
    <t>Fruchthendler Elementary School</t>
  </si>
  <si>
    <t>7470 E. Cloud Rd.</t>
  </si>
  <si>
    <t>Gale Elementary School</t>
  </si>
  <si>
    <t>678 S. Gollob Rd</t>
  </si>
  <si>
    <t>Raul Grijalva Elementary School</t>
  </si>
  <si>
    <t>1795 W. Drexel Road</t>
  </si>
  <si>
    <t>Hollinger K-8 School</t>
  </si>
  <si>
    <t>150 W. Ajo Way</t>
  </si>
  <si>
    <t>Anna Henry Elementary School</t>
  </si>
  <si>
    <t>650 North Igo Way</t>
  </si>
  <si>
    <t>Holladay Intermediate Magnet School</t>
  </si>
  <si>
    <t>1110 E. 33rd St.</t>
  </si>
  <si>
    <t>Howell Peter Elementary</t>
  </si>
  <si>
    <t>401 N. Irving</t>
  </si>
  <si>
    <t>Hudlow Elementary School</t>
  </si>
  <si>
    <t>502 N. Caribe</t>
  </si>
  <si>
    <t>Sam Hughes Elementary</t>
  </si>
  <si>
    <t>700 N. Wilson</t>
  </si>
  <si>
    <t>Harriet Johnson Primary School</t>
  </si>
  <si>
    <t>6060 S. Joseph Ave.</t>
  </si>
  <si>
    <t>Annie Kellond Elementary School</t>
  </si>
  <si>
    <t>6606 E. Lehigh Dr.</t>
  </si>
  <si>
    <t>Anna Lawrence Intermediate School</t>
  </si>
  <si>
    <t>4850 W. Jeffery Rd.</t>
  </si>
  <si>
    <t>Lineweaver Elementary School</t>
  </si>
  <si>
    <t>461 S. Bryant</t>
  </si>
  <si>
    <t>Lynn Urquides</t>
  </si>
  <si>
    <t>1573 W. Ajo Way</t>
  </si>
  <si>
    <t>Maldonado Amelia Elementary School</t>
  </si>
  <si>
    <t>3535 West Messala Way</t>
  </si>
  <si>
    <t>Manzo Elementary School</t>
  </si>
  <si>
    <t>855 N. Melrose</t>
  </si>
  <si>
    <t>Marshall Elementary School</t>
  </si>
  <si>
    <t>9066 E. 29th Street</t>
  </si>
  <si>
    <t>Miles-Exploratory Learning Center</t>
  </si>
  <si>
    <t>1400 East Broadway Blvd.</t>
  </si>
  <si>
    <t>Miller Elementary School</t>
  </si>
  <si>
    <t>6951 S. Camino De La Tierra</t>
  </si>
  <si>
    <t>Mission View Elementary School</t>
  </si>
  <si>
    <t>2600 South Eighth Avenue</t>
  </si>
  <si>
    <t>Myers-Ganoung Elementary School</t>
  </si>
  <si>
    <t>5000 E. Andrew</t>
  </si>
  <si>
    <t>Ochoa Elementary School</t>
  </si>
  <si>
    <t>101 West 25th Street</t>
  </si>
  <si>
    <t>Pueblo Gardens Elementary</t>
  </si>
  <si>
    <t>2210 E. 33rd Street</t>
  </si>
  <si>
    <t>Robins Elementary School</t>
  </si>
  <si>
    <t>3939 North Magnetite</t>
  </si>
  <si>
    <t>Robison Elementary School</t>
  </si>
  <si>
    <t>2745 East 18th Street</t>
  </si>
  <si>
    <t>C E Rose Elementary School</t>
  </si>
  <si>
    <t>710 W. Michigan Dr.</t>
  </si>
  <si>
    <t>W Arthur Sewel Elementary School</t>
  </si>
  <si>
    <t>425 N. Sahuara</t>
  </si>
  <si>
    <t>Soleng Tom Elementary School</t>
  </si>
  <si>
    <t>10520 E. Camino Quince</t>
  </si>
  <si>
    <t>Harold Steele Elementary School</t>
  </si>
  <si>
    <t>700 S. Sarnoff</t>
  </si>
  <si>
    <t>Tolson Elementary School</t>
  </si>
  <si>
    <t>1000 S. Greaswood</t>
  </si>
  <si>
    <t>Tully Elementary Accelerated Magnet School</t>
  </si>
  <si>
    <t>1701 W. El Rio Drive</t>
  </si>
  <si>
    <t>Van Buskirk Elementary School</t>
  </si>
  <si>
    <t>725 E. Fair</t>
  </si>
  <si>
    <t>Vesey Elementary School</t>
  </si>
  <si>
    <t>5005 S. Butts Road</t>
  </si>
  <si>
    <t>Frances J Warren Elementary School</t>
  </si>
  <si>
    <t>3505 W. Milton Rd</t>
  </si>
  <si>
    <t>Wheeler Elementary School</t>
  </si>
  <si>
    <t>1818 Avenida Del Sol</t>
  </si>
  <si>
    <t>John E White Elementary School</t>
  </si>
  <si>
    <t>2315 W. Canada St.</t>
  </si>
  <si>
    <t>W V Whitmore Elementary School</t>
  </si>
  <si>
    <t>5330 E. Glenn</t>
  </si>
  <si>
    <t>John B Wright Elementary School</t>
  </si>
  <si>
    <t>4311 E. Linden</t>
  </si>
  <si>
    <t>Ida Flood Dodge Traditional Middle Magnet School</t>
  </si>
  <si>
    <t>5831 E. Pima St.</t>
  </si>
  <si>
    <t>Doolen Middle School</t>
  </si>
  <si>
    <t>2400 N. Country Club</t>
  </si>
  <si>
    <t>Booth-Fickett Math/Science Magnet School</t>
  </si>
  <si>
    <t>450 S. Montego Dr.</t>
  </si>
  <si>
    <t>Gridley Middle School</t>
  </si>
  <si>
    <t>350 S. Harrison Rd.</t>
  </si>
  <si>
    <t>Magee Middle School</t>
  </si>
  <si>
    <t>8300 East Speedway Blvd.</t>
  </si>
  <si>
    <t>Mansfeld Middle Magnet School</t>
  </si>
  <si>
    <t>1300 E. Sixth Street</t>
  </si>
  <si>
    <t>Tuscon</t>
  </si>
  <si>
    <t>Roberts Naylor</t>
  </si>
  <si>
    <t>2150 E 15th Street</t>
  </si>
  <si>
    <t>1701 S Columbus Blvd</t>
  </si>
  <si>
    <t>Pistor Middle School</t>
  </si>
  <si>
    <t>5455 South Cardinal Ave.</t>
  </si>
  <si>
    <t>Safford K-8 School</t>
  </si>
  <si>
    <t>200 E. 13th Street</t>
  </si>
  <si>
    <t>Secrist Middle School</t>
  </si>
  <si>
    <t>3400 S. Houghton Road</t>
  </si>
  <si>
    <t>Utterback Middle School</t>
  </si>
  <si>
    <t>3233 South Pinal Vista</t>
  </si>
  <si>
    <t>Alice Vail Middle School</t>
  </si>
  <si>
    <t>5350 E. 16th St.</t>
  </si>
  <si>
    <t>Valencia Middle School</t>
  </si>
  <si>
    <t>4400 W. Irvington Road</t>
  </si>
  <si>
    <t>Southwest Alternative Middle School</t>
  </si>
  <si>
    <t>6855 S. Mark Road</t>
  </si>
  <si>
    <t>Roskruge Bilingual Magnet Middle School</t>
  </si>
  <si>
    <t>501 E. Sixth Street</t>
  </si>
  <si>
    <t>Catalina High School</t>
  </si>
  <si>
    <t>3645 E. Pima</t>
  </si>
  <si>
    <t>Cholla High School</t>
  </si>
  <si>
    <t>2001 W. Starr Pass Blvd.</t>
  </si>
  <si>
    <t>Palo Verde High Magnet School</t>
  </si>
  <si>
    <t>1302 South Avenida Vega</t>
  </si>
  <si>
    <t>Pueblo High School</t>
  </si>
  <si>
    <t>3500 South 12th Avenue</t>
  </si>
  <si>
    <t>Rincon High School</t>
  </si>
  <si>
    <t>421 North Arcadia Blvd.</t>
  </si>
  <si>
    <t>Sabino High School</t>
  </si>
  <si>
    <t>5000 North Bowes Road</t>
  </si>
  <si>
    <t>Sahuaro High School</t>
  </si>
  <si>
    <t>545 N. Camino Seco</t>
  </si>
  <si>
    <t>Santa Rita High School</t>
  </si>
  <si>
    <t>3951 S. Pantano Road</t>
  </si>
  <si>
    <t>Tucson Magnet High School</t>
  </si>
  <si>
    <t>400 N. Second Avenue</t>
  </si>
  <si>
    <t>Project More High School</t>
  </si>
  <si>
    <t>440 S. Park</t>
  </si>
  <si>
    <t>Mary Meredith K-12 School</t>
  </si>
  <si>
    <t>755 N. Magnolia</t>
  </si>
  <si>
    <t>Teenage Parent Program - TAPP</t>
  </si>
  <si>
    <t>102 N. Plumer</t>
  </si>
  <si>
    <t>Laura N. Banks Elementary</t>
  </si>
  <si>
    <t>3200 S. Lead Flower</t>
  </si>
  <si>
    <t>Henry Hank Oyama</t>
  </si>
  <si>
    <t>2700 S. LaCholla Blvd.</t>
  </si>
  <si>
    <t>McCorkle PK-8</t>
  </si>
  <si>
    <t>4455 S. Mission Rd.</t>
  </si>
  <si>
    <t>Morgan Maxwell School</t>
  </si>
  <si>
    <t>2802 W. Anklam Rd.</t>
  </si>
  <si>
    <t>Marana Unified District</t>
  </si>
  <si>
    <t>Kalahar</t>
  </si>
  <si>
    <t>c.l.kalahar@maranausd.org</t>
  </si>
  <si>
    <t>11279 W. Grier Road Ste. 107</t>
  </si>
  <si>
    <t>Marana</t>
  </si>
  <si>
    <t>Degrazia Elementary School</t>
  </si>
  <si>
    <t>5051 W. Overton Road</t>
  </si>
  <si>
    <t>Marjorie W Estes Elementary School</t>
  </si>
  <si>
    <t>c.l.Kalahar@maranausd.org</t>
  </si>
  <si>
    <t>11280 W. Grier Road</t>
  </si>
  <si>
    <t>Thornydale Elementary School</t>
  </si>
  <si>
    <t>7651 N. Oldfather Road</t>
  </si>
  <si>
    <t>Butterfield Elementary School</t>
  </si>
  <si>
    <t>3400 W. Massingale Rd.</t>
  </si>
  <si>
    <t>16651 W. Calle Carmela</t>
  </si>
  <si>
    <t>Picture Rocks Elementary</t>
  </si>
  <si>
    <t>5875 N. Sanders Road</t>
  </si>
  <si>
    <t>3300 W. Freer Drive</t>
  </si>
  <si>
    <t>4600 W. Cortaro Farms Road</t>
  </si>
  <si>
    <t>Coyote Trail Elementary School</t>
  </si>
  <si>
    <t>8000 N. Silverbell</t>
  </si>
  <si>
    <t>Marana Middle School</t>
  </si>
  <si>
    <t>11285 W. Grier Road</t>
  </si>
  <si>
    <t>Tortolita Middle School</t>
  </si>
  <si>
    <t>4101 W. Hardy Road</t>
  </si>
  <si>
    <t>Marana High School</t>
  </si>
  <si>
    <t>12000 W. Emigh Road</t>
  </si>
  <si>
    <t>3901 W. Linda Vista Blvd.</t>
  </si>
  <si>
    <t>Twin Peaks Elementary School</t>
  </si>
  <si>
    <t>7995 W. Twin Peaks Road</t>
  </si>
  <si>
    <t>Rattlesnake Ridge Elementary</t>
  </si>
  <si>
    <t>8500 N. Continental Reserve Loop</t>
  </si>
  <si>
    <t>Gladden Farms Elementary</t>
  </si>
  <si>
    <t>gf-cafe@maranausd.org</t>
  </si>
  <si>
    <t>11745 W. Gladden Farms Dr.</t>
  </si>
  <si>
    <t>Flowing Wells Unified District</t>
  </si>
  <si>
    <t>Stacy</t>
  </si>
  <si>
    <t>Trueblood</t>
  </si>
  <si>
    <t>stacy.trueblood@fwusd.org</t>
  </si>
  <si>
    <t>4545 N La Cholla</t>
  </si>
  <si>
    <t>Supervisor I</t>
  </si>
  <si>
    <t>alma.nunez@fwusd.org</t>
  </si>
  <si>
    <t>2200 W. Wetmore Road</t>
  </si>
  <si>
    <t>Homer Davis Elementary School</t>
  </si>
  <si>
    <t>Gaona</t>
  </si>
  <si>
    <t>Supervisor</t>
  </si>
  <si>
    <t>sherrie.gaona@fwusd.org</t>
  </si>
  <si>
    <t>4250 N Romero Road</t>
  </si>
  <si>
    <t>Walter Douglas Elementary School</t>
  </si>
  <si>
    <t>Obregon</t>
  </si>
  <si>
    <t>ana.obregon@fwusd.org</t>
  </si>
  <si>
    <t>3302 N Flowing Wells Road</t>
  </si>
  <si>
    <t>J Robert Hendricks Elementary School</t>
  </si>
  <si>
    <t>maria.olivas@fwusd.org</t>
  </si>
  <si>
    <t>3400 W Orange Grove Road</t>
  </si>
  <si>
    <t>Dalia</t>
  </si>
  <si>
    <t>dalia.flores@fwusd.org</t>
  </si>
  <si>
    <t>5001 N Shannon Road</t>
  </si>
  <si>
    <t>Robert Richardson Elementary School</t>
  </si>
  <si>
    <t>maria.aguilar@fwusd.org</t>
  </si>
  <si>
    <t>6901 N Camino de la Tierra</t>
  </si>
  <si>
    <t>Flowing Wells Junior High School</t>
  </si>
  <si>
    <t>Kira</t>
  </si>
  <si>
    <t>kira.lewis@fwusd.org</t>
  </si>
  <si>
    <t>Flowing Wells High School</t>
  </si>
  <si>
    <t>Clarissa</t>
  </si>
  <si>
    <t>Jeffcoat</t>
  </si>
  <si>
    <t>clarissa.jeffcoat@fwusd.org</t>
  </si>
  <si>
    <t>3725 N Flowing Wells Road</t>
  </si>
  <si>
    <t>Sentinel Peak High School</t>
  </si>
  <si>
    <t>Carl</t>
  </si>
  <si>
    <t>Thompson</t>
  </si>
  <si>
    <t>carl.thompson@fwusd.org</t>
  </si>
  <si>
    <t>4125 W. Aerie Dr.</t>
  </si>
  <si>
    <t>Amphitheater Unified District</t>
  </si>
  <si>
    <t>Alison</t>
  </si>
  <si>
    <t>Carbonneau</t>
  </si>
  <si>
    <t>District Nutritionist</t>
  </si>
  <si>
    <t>acarbonneau@amphi.com</t>
  </si>
  <si>
    <t>701 W. Wetmore Rd.</t>
  </si>
  <si>
    <t>Tucson,</t>
  </si>
  <si>
    <t>200 E. Roger Rd.</t>
  </si>
  <si>
    <t>Marion Donaldson Elementary School</t>
  </si>
  <si>
    <t>2040 W. Omar Rd.</t>
  </si>
  <si>
    <t>Winifred Harelson Elementary School</t>
  </si>
  <si>
    <t>826 W. Chapala Dr.</t>
  </si>
  <si>
    <t>Frances Owen Holaway Elementary School</t>
  </si>
  <si>
    <t>3500 N. Cherry Ave.</t>
  </si>
  <si>
    <t>Helen Keeling Elementary School</t>
  </si>
  <si>
    <t>2837 N. Los Altos</t>
  </si>
  <si>
    <t>E C Nash School</t>
  </si>
  <si>
    <t>515 W. Kelso St.</t>
  </si>
  <si>
    <t>L M Prince School</t>
  </si>
  <si>
    <t>125 E. Prince Rd.</t>
  </si>
  <si>
    <t>Lulu Walker School</t>
  </si>
  <si>
    <t>1750 W. Rollercoaster Rd.</t>
  </si>
  <si>
    <t>Coronado K-8 School</t>
  </si>
  <si>
    <t>3401 E. Wilds Rd.</t>
  </si>
  <si>
    <t>Mesa Verde Elementary School</t>
  </si>
  <si>
    <t>1661 W. Sage St.</t>
  </si>
  <si>
    <t>Rio Vista Elementary School</t>
  </si>
  <si>
    <t>1351 E. Limberlost Dr.</t>
  </si>
  <si>
    <t>11620 N. Copper Springs Trail</t>
  </si>
  <si>
    <t>Rillito Center</t>
  </si>
  <si>
    <t>266 E. Pastime Rd.</t>
  </si>
  <si>
    <t>La Cima Middle School</t>
  </si>
  <si>
    <t>5600 N. La Canada</t>
  </si>
  <si>
    <t>Amphitheater Middle School</t>
  </si>
  <si>
    <t>315 E. Prince Rd.</t>
  </si>
  <si>
    <t>Lawrence W Cross Middle School</t>
  </si>
  <si>
    <t>1000 W. Chapala Dr</t>
  </si>
  <si>
    <t>Richard B Wilson Jr School</t>
  </si>
  <si>
    <t>2330 W. Glover Rd.</t>
  </si>
  <si>
    <t>Canyon Del Oro High School</t>
  </si>
  <si>
    <t>25 W. Calle Concordia</t>
  </si>
  <si>
    <t>Amphitheater High School</t>
  </si>
  <si>
    <t>125 W. Yavapai Rd.</t>
  </si>
  <si>
    <t>The Innovation Academy</t>
  </si>
  <si>
    <t>825 W. Desert Fairways Drive</t>
  </si>
  <si>
    <t>Painted Sky Elementary School</t>
  </si>
  <si>
    <t>School Nutritionist</t>
  </si>
  <si>
    <t>12620 N. Woodburne Ave.</t>
  </si>
  <si>
    <t>Ironwood Ridge High School</t>
  </si>
  <si>
    <t>2475 W. Naranja</t>
  </si>
  <si>
    <t>Amphi Academy at Donaldson</t>
  </si>
  <si>
    <t>Sunnyside Unified District</t>
  </si>
  <si>
    <t>Hector</t>
  </si>
  <si>
    <t>Encinas</t>
  </si>
  <si>
    <t>HectorE@susd12.org</t>
  </si>
  <si>
    <t>2238 E. Ginter Road</t>
  </si>
  <si>
    <t>Attn: Food Service Dept</t>
  </si>
  <si>
    <t>Apollo Middle School</t>
  </si>
  <si>
    <t>Chief Financial Office</t>
  </si>
  <si>
    <t>2238 E. Ginter Rd.</t>
  </si>
  <si>
    <t>Attn Food Service Dept</t>
  </si>
  <si>
    <t>265 W. Nebraska</t>
  </si>
  <si>
    <t>Craycroft Elementary School</t>
  </si>
  <si>
    <t>2238 East Ginter Road</t>
  </si>
  <si>
    <t>Food Service Dept</t>
  </si>
  <si>
    <t>5455 East Littletown Road</t>
  </si>
  <si>
    <t>Drexel Elementary School</t>
  </si>
  <si>
    <t>801 East Drexel Road</t>
  </si>
  <si>
    <t>Elvira Elementary School</t>
  </si>
  <si>
    <t>250 W. Elvira Road</t>
  </si>
  <si>
    <t>2353 E. Bantam Road</t>
  </si>
  <si>
    <t>5495 S. Liberty Avenue</t>
  </si>
  <si>
    <t>Gallego Primary Fine Arts Magnet</t>
  </si>
  <si>
    <t>6200 South Hemisphere Place</t>
  </si>
  <si>
    <t>Los Ninos Elementary School</t>
  </si>
  <si>
    <t>5445 S. Alvernon Way</t>
  </si>
  <si>
    <t>Los Amigos Elementary School</t>
  </si>
  <si>
    <t>2200 E  Drexel Road</t>
  </si>
  <si>
    <t>Mission Manor Elementary School</t>
  </si>
  <si>
    <t>600 W. Santa Rosa St.</t>
  </si>
  <si>
    <t>Summit View Elementary</t>
  </si>
  <si>
    <t>1900 E. Summit Street</t>
  </si>
  <si>
    <t>Santa Clara Elementary School</t>
  </si>
  <si>
    <t>6910 S. Santa Clara Avenue</t>
  </si>
  <si>
    <t>Sierra 2-8 School</t>
  </si>
  <si>
    <t>5801 S. Del Moral Blvd</t>
  </si>
  <si>
    <t>101 East Elvira Road</t>
  </si>
  <si>
    <t>Ocotillo Early Learning Elementary School</t>
  </si>
  <si>
    <t>5702 S. Campbell AVenue</t>
  </si>
  <si>
    <t>Desert View High School</t>
  </si>
  <si>
    <t>4101 East Valencia Road</t>
  </si>
  <si>
    <t>Sunnyside High School</t>
  </si>
  <si>
    <t>1725 E. Bilby Road</t>
  </si>
  <si>
    <t>STAR Academic High School</t>
  </si>
  <si>
    <t>5093 S. Liberty Avenue</t>
  </si>
  <si>
    <t>Billy Lane Lauffer Middle School</t>
  </si>
  <si>
    <t>5385 Little Town Rd.</t>
  </si>
  <si>
    <t>Rivera Elementary</t>
  </si>
  <si>
    <t>5102 S Cherry Avenue</t>
  </si>
  <si>
    <t>Gallego Intermediate Fine Arts Magnet School</t>
  </si>
  <si>
    <t>3700 E. Alvord Road</t>
  </si>
  <si>
    <t>Tanque Verde Unified District</t>
  </si>
  <si>
    <t>Adam</t>
  </si>
  <si>
    <t>Hamm</t>
  </si>
  <si>
    <t>ahamm@tanq.org</t>
  </si>
  <si>
    <t>2300 N. Tanque Verde Loop Rd.</t>
  </si>
  <si>
    <t>Emily Gray Junior High School</t>
  </si>
  <si>
    <t>Johnston</t>
  </si>
  <si>
    <t>mjohnston@tanq.org</t>
  </si>
  <si>
    <t>11150 E. Tanque Verde Road</t>
  </si>
  <si>
    <t>Tanque Verde Elementary School</t>
  </si>
  <si>
    <t>Mariann</t>
  </si>
  <si>
    <t>Scheib</t>
  </si>
  <si>
    <t>mscheib@tanq.org</t>
  </si>
  <si>
    <t>2600 N Fennimore</t>
  </si>
  <si>
    <t>Agua Caliente School</t>
  </si>
  <si>
    <t>Rutledge</t>
  </si>
  <si>
    <t>jrutledge@tanq.org</t>
  </si>
  <si>
    <t>11420 E. Limberlost</t>
  </si>
  <si>
    <t>Tanque Verde High School</t>
  </si>
  <si>
    <t>Koralewski</t>
  </si>
  <si>
    <t>pkoralewski@tanq.org</t>
  </si>
  <si>
    <t>4201 N Melpomene Way</t>
  </si>
  <si>
    <t>Ajo Unified District</t>
  </si>
  <si>
    <t>Angelina</t>
  </si>
  <si>
    <t>Superintendent's Secretary</t>
  </si>
  <si>
    <t>angelina@tabletoptelephone.com</t>
  </si>
  <si>
    <t>111 Well Road</t>
  </si>
  <si>
    <t>Ajo</t>
  </si>
  <si>
    <t>Temporary Assignment to Kerrie Zigler</t>
  </si>
  <si>
    <t>Ajo Elementary School</t>
  </si>
  <si>
    <t>111 Well Rd.</t>
  </si>
  <si>
    <t>Ajo High School</t>
  </si>
  <si>
    <t>111 N. Well Rd.</t>
  </si>
  <si>
    <t>Catalina Foothills Unified District</t>
  </si>
  <si>
    <t>Taetle</t>
  </si>
  <si>
    <t>ltaetle@cfsd16.org</t>
  </si>
  <si>
    <t>2101 East River Road</t>
  </si>
  <si>
    <t>Sunrise Drive Elementary School</t>
  </si>
  <si>
    <t>Rivera Lopez</t>
  </si>
  <si>
    <t>Office Clerk</t>
  </si>
  <si>
    <t>briverlopez@cfsd16.org</t>
  </si>
  <si>
    <t>5301 E Sunrise Dr</t>
  </si>
  <si>
    <t>Manzanita School</t>
  </si>
  <si>
    <t>Larter</t>
  </si>
  <si>
    <t>clarter@cfsd16.org</t>
  </si>
  <si>
    <t>3000 E Manzanita Avenue</t>
  </si>
  <si>
    <t>Orange Grove Middle School</t>
  </si>
  <si>
    <t>Algeo</t>
  </si>
  <si>
    <t>calgeo@cfsd16.org</t>
  </si>
  <si>
    <t>1911 E Orange Grove Road</t>
  </si>
  <si>
    <t>Canyon View Elementary School</t>
  </si>
  <si>
    <t>Marjorie</t>
  </si>
  <si>
    <t>Grinney</t>
  </si>
  <si>
    <t>mgrinney@cfsd16.org</t>
  </si>
  <si>
    <t>5725 North Sabino Canyon Road</t>
  </si>
  <si>
    <t>Esperero Canyon Middle School</t>
  </si>
  <si>
    <t>Felicia</t>
  </si>
  <si>
    <t>Klein</t>
  </si>
  <si>
    <t>fklein@cfsd16.org</t>
  </si>
  <si>
    <t>5801 North Sabino Canyon Road</t>
  </si>
  <si>
    <t>Ventana Vista Elementary School</t>
  </si>
  <si>
    <t>MacNeal</t>
  </si>
  <si>
    <t>School Secretary</t>
  </si>
  <si>
    <t>cmacneal@cfsd16.org</t>
  </si>
  <si>
    <t>6085 North Kolb Road</t>
  </si>
  <si>
    <t>Catalina Foothills High School</t>
  </si>
  <si>
    <t>Joseph</t>
  </si>
  <si>
    <t>cjoseph@cfsd16.org</t>
  </si>
  <si>
    <t>4300 East Sunrise Drive</t>
  </si>
  <si>
    <t>Sahuarita Unified District</t>
  </si>
  <si>
    <t>Charlotte</t>
  </si>
  <si>
    <t>Gates</t>
  </si>
  <si>
    <t>Director of Business</t>
  </si>
  <si>
    <t>cgates@sahuarita.net</t>
  </si>
  <si>
    <t>350 W. Sahuarita Road</t>
  </si>
  <si>
    <t>Sahuarita</t>
  </si>
  <si>
    <t>Sahuarita Primary School</t>
  </si>
  <si>
    <t>Director of Business Services</t>
  </si>
  <si>
    <t>Building 40</t>
  </si>
  <si>
    <t>Sopori Elementary School</t>
  </si>
  <si>
    <t>5000 Arivaca Road</t>
  </si>
  <si>
    <t>Sahuarita Middle School</t>
  </si>
  <si>
    <t>Building 18</t>
  </si>
  <si>
    <t>Sahuarita High School</t>
  </si>
  <si>
    <t>Anza Trail</t>
  </si>
  <si>
    <t>15490 S. Rancho Sahuarita Blvd</t>
  </si>
  <si>
    <t>Walden Grove High School</t>
  </si>
  <si>
    <t>15510 S Sahuarita Park Road</t>
  </si>
  <si>
    <t>Copper View Elementary School</t>
  </si>
  <si>
    <t>16200 S. Starlight View Lane</t>
  </si>
  <si>
    <t>Wrightson Ridge K-8 School</t>
  </si>
  <si>
    <t>16325 S. Rancho Sahuarita Blvd</t>
  </si>
  <si>
    <t>Baboquivari Unified School District #40</t>
  </si>
  <si>
    <t>Clementina</t>
  </si>
  <si>
    <t>Carlyle</t>
  </si>
  <si>
    <t>ccarlyle@busd40.org</t>
  </si>
  <si>
    <t>P.O. Box# 248</t>
  </si>
  <si>
    <t>Sells</t>
  </si>
  <si>
    <t>111 Main St.</t>
  </si>
  <si>
    <t>Indian Oasis Primary Elementary School</t>
  </si>
  <si>
    <t>Rozanne</t>
  </si>
  <si>
    <t>Lejero</t>
  </si>
  <si>
    <t>Food Service Compliance Technician</t>
  </si>
  <si>
    <t>rlejero@iobusd40.org</t>
  </si>
  <si>
    <t>111 Mainstreet</t>
  </si>
  <si>
    <t>Baboquivari Middle School</t>
  </si>
  <si>
    <t>rlejero@busd40.org</t>
  </si>
  <si>
    <t>Indian Route 19 Mile Marker 19.5</t>
  </si>
  <si>
    <t>Topawa</t>
  </si>
  <si>
    <t>Baboquivari High School</t>
  </si>
  <si>
    <t>P.O. Box 248</t>
  </si>
  <si>
    <t>Federal Route 19, Milepost 19.5</t>
  </si>
  <si>
    <t>Alternative Middle School (Indian Oasis Middle School)</t>
  </si>
  <si>
    <t>P.O. Box#248</t>
  </si>
  <si>
    <t>Highway 86, Milepost 115.5</t>
  </si>
  <si>
    <t>Alternative High School (Indian Oasis High School)</t>
  </si>
  <si>
    <t>Indian Oasis Intermediate Elementary School</t>
  </si>
  <si>
    <t>Food Service Technician</t>
  </si>
  <si>
    <t>Vail Unified District</t>
  </si>
  <si>
    <t>Millman</t>
  </si>
  <si>
    <t>Accounting Clerk</t>
  </si>
  <si>
    <t>millmanl@vailschooldistrict.org</t>
  </si>
  <si>
    <t>PO Box 800</t>
  </si>
  <si>
    <t>Vail</t>
  </si>
  <si>
    <t>13801 E Benson Hwy</t>
  </si>
  <si>
    <t>Old Vail Middle School</t>
  </si>
  <si>
    <t>13299  E Colossal Cave Road</t>
  </si>
  <si>
    <t>9400 E Esmond Loop</t>
  </si>
  <si>
    <t>Vail Academy &amp; High School</t>
  </si>
  <si>
    <t>PO Box  800</t>
  </si>
  <si>
    <t>7762 E Science Park Dr</t>
  </si>
  <si>
    <t>Cottonwood Elementary School</t>
  </si>
  <si>
    <t>9950 Rees Loop</t>
  </si>
  <si>
    <t>9850 E Rankin Loop</t>
  </si>
  <si>
    <t>Cienega High School</t>
  </si>
  <si>
    <t>12775 E Mary Ann Cleveland</t>
  </si>
  <si>
    <t>Sycamore Elementary School</t>
  </si>
  <si>
    <t>16701 S Houghton Road</t>
  </si>
  <si>
    <t>Pantano High School</t>
  </si>
  <si>
    <t>P.O. Box 800</t>
  </si>
  <si>
    <t>13010 S Houghton Rd</t>
  </si>
  <si>
    <t>Corona Foothills Middle School</t>
  </si>
  <si>
    <t>16705 S Houghton Road</t>
  </si>
  <si>
    <t>Empire High School</t>
  </si>
  <si>
    <t>10701 E Mary Ann Cleveland Way</t>
  </si>
  <si>
    <t>Ocotillo Ridge Elementary</t>
  </si>
  <si>
    <t>10701 S White Lightning</t>
  </si>
  <si>
    <t>Senita Valley Elementary School</t>
  </si>
  <si>
    <t>10750 E Billby Road</t>
  </si>
  <si>
    <t>Rincon Vista Middle School</t>
  </si>
  <si>
    <t>10770 E Bilby Road</t>
  </si>
  <si>
    <t>12955  E Colossal Cave Rd</t>
  </si>
  <si>
    <t>9455 E Rita Road</t>
  </si>
  <si>
    <t>Andrada Polytechnic High School</t>
  </si>
  <si>
    <t>12960 S Houghton</t>
  </si>
  <si>
    <t>Esmond Station School</t>
  </si>
  <si>
    <t>9400 S Atterburry Wash Way</t>
  </si>
  <si>
    <t>Copper Ridge Elementary</t>
  </si>
  <si>
    <t>17650 S Canyon Edge Trail</t>
  </si>
  <si>
    <t>Continental Elementary District</t>
  </si>
  <si>
    <t>Elaine</t>
  </si>
  <si>
    <t>Armienti</t>
  </si>
  <si>
    <t>erieger@csd39.org</t>
  </si>
  <si>
    <t>P. O. Box 547</t>
  </si>
  <si>
    <t>Green Valley</t>
  </si>
  <si>
    <t>1991 E. White House Canyon Road</t>
  </si>
  <si>
    <t>Continental Elementary School</t>
  </si>
  <si>
    <t>Lupita</t>
  </si>
  <si>
    <t>Toscano</t>
  </si>
  <si>
    <t>ltoscano@csd39.org</t>
  </si>
  <si>
    <t>Altar Valley Elementary District</t>
  </si>
  <si>
    <t>ecampos@avsd.org</t>
  </si>
  <si>
    <t>10105 S. Sasabe Road</t>
  </si>
  <si>
    <t>9875 S Sasabe Rd</t>
  </si>
  <si>
    <t>Altar Valley Middle School</t>
  </si>
  <si>
    <t>10105 S Sasabe Rd</t>
  </si>
  <si>
    <t>16350 W Ajo Way</t>
  </si>
  <si>
    <t>Robles Elementary School</t>
  </si>
  <si>
    <t>10105 S Sasabe RD</t>
  </si>
  <si>
    <t>9875 s Sasabe RD</t>
  </si>
  <si>
    <t>Edge School, Inc., The</t>
  </si>
  <si>
    <t>Rob</t>
  </si>
  <si>
    <t>Pecharich</t>
  </si>
  <si>
    <t>Finance and Resource Director</t>
  </si>
  <si>
    <t>robp@edgehighschool.org</t>
  </si>
  <si>
    <t>2555 E. 1st St</t>
  </si>
  <si>
    <t>Suite 111</t>
  </si>
  <si>
    <t>Edge High School - Himmel Park</t>
  </si>
  <si>
    <t>anneo@edgehighschool.org</t>
  </si>
  <si>
    <t>2555 1st Street</t>
  </si>
  <si>
    <t>Tucson Youth Development/ACE Charter High School</t>
  </si>
  <si>
    <t>Speta</t>
  </si>
  <si>
    <t>larry.speta@acehs.org</t>
  </si>
  <si>
    <t>1929 N. Stone Ave</t>
  </si>
  <si>
    <t>Alternative Computerized Education (ACE) Charter High School</t>
  </si>
  <si>
    <t>Marcella</t>
  </si>
  <si>
    <t>Aranda</t>
  </si>
  <si>
    <t>NSLP Director/Office Manager/Registrar</t>
  </si>
  <si>
    <t>marcella.aranda@acehs.org</t>
  </si>
  <si>
    <t>1929 N. Stone Avenue</t>
  </si>
  <si>
    <t>Youth Works Charter High School</t>
  </si>
  <si>
    <t>Office Manager/Registrar</t>
  </si>
  <si>
    <t>1915 E. 36th St</t>
  </si>
  <si>
    <t>Presidio School</t>
  </si>
  <si>
    <t>Roos</t>
  </si>
  <si>
    <t>jroos@presidioschool.com</t>
  </si>
  <si>
    <t>1695 E. Fort Lowell Rd</t>
  </si>
  <si>
    <t>Temporary Assignment to Kristin Merritt</t>
  </si>
  <si>
    <t>1695 E. Fort Lowell Road</t>
  </si>
  <si>
    <t>Portable Practical Educational Preparation, Inc. (PPEP, Inc.)</t>
  </si>
  <si>
    <t>Anabel</t>
  </si>
  <si>
    <t>Robles</t>
  </si>
  <si>
    <t>NSLP District Coordinator</t>
  </si>
  <si>
    <t>arobles@ppep.org</t>
  </si>
  <si>
    <t>1840 E. Benson Highway</t>
  </si>
  <si>
    <t>PPEP TEC - Celestino Fernandez Learning Center</t>
  </si>
  <si>
    <t>District NSLP Coordinator</t>
  </si>
  <si>
    <t>PPEP TEC - Alice S. Paul Learning Center</t>
  </si>
  <si>
    <t>409 W McMurray</t>
  </si>
  <si>
    <t>Casa Grande</t>
  </si>
  <si>
    <t>PPEP TEC - Raul H. Castro Learning Center</t>
  </si>
  <si>
    <t>Discrict NSLP Coordinator</t>
  </si>
  <si>
    <t>1122 G Avenue</t>
  </si>
  <si>
    <t>PPEP TEC - Cesar Chavez Learning Center</t>
  </si>
  <si>
    <t>1233 N. Main</t>
  </si>
  <si>
    <t>San Luis</t>
  </si>
  <si>
    <t>PPEP TEC - Jose Yepez Learning Center</t>
  </si>
  <si>
    <t>201 W. Bingham</t>
  </si>
  <si>
    <t>Somerton</t>
  </si>
  <si>
    <t>PPEP TEC - Colin L. Powell Learning Center</t>
  </si>
  <si>
    <t>4116 Avenida Cochise</t>
  </si>
  <si>
    <t>Suites F-H</t>
  </si>
  <si>
    <t>Mary C O'Brien Accommodation District</t>
  </si>
  <si>
    <t>Calderon</t>
  </si>
  <si>
    <t>jcalderon@pinalk12.org</t>
  </si>
  <si>
    <t>3740 N. Toltec Road</t>
  </si>
  <si>
    <t>Eloy</t>
  </si>
  <si>
    <t>1400 N. Eleven Mile Corner Road</t>
  </si>
  <si>
    <t>Mary C  O'Brien Elementary School</t>
  </si>
  <si>
    <t>P.O. Box 3117</t>
  </si>
  <si>
    <t>1400 N. Eleven Mile Corner</t>
  </si>
  <si>
    <t>Villa Oasis Interscholastic Center For Education (voice)</t>
  </si>
  <si>
    <t>Florence Unified School District</t>
  </si>
  <si>
    <t>Sheaba</t>
  </si>
  <si>
    <t>Granillo</t>
  </si>
  <si>
    <t>sgranillo@fusdaz.org</t>
  </si>
  <si>
    <t>P.O. Box 2850</t>
  </si>
  <si>
    <t>2250 South Orlando Street</t>
  </si>
  <si>
    <t>Florence K-8</t>
  </si>
  <si>
    <t>JGomez@fusdaz.org</t>
  </si>
  <si>
    <t>460 S. Park Street</t>
  </si>
  <si>
    <t>Florence High School</t>
  </si>
  <si>
    <t>Brenna</t>
  </si>
  <si>
    <t>Odell</t>
  </si>
  <si>
    <t>obrenna@fusdaz.org</t>
  </si>
  <si>
    <t>1000 S. Main</t>
  </si>
  <si>
    <t>Walker Butte K-8</t>
  </si>
  <si>
    <t>Shirlee</t>
  </si>
  <si>
    <t>swhite@fusdaz.org</t>
  </si>
  <si>
    <t>29697 N. Desert Willow Blvd</t>
  </si>
  <si>
    <t>San Tan Heights Elementary</t>
  </si>
  <si>
    <t>Segura</t>
  </si>
  <si>
    <t>rsegura@fusdaz.org</t>
  </si>
  <si>
    <t>PO Box 2850</t>
  </si>
  <si>
    <t>2500W San Tan Heights Blvd</t>
  </si>
  <si>
    <t>San Tan Valley</t>
  </si>
  <si>
    <t>Copper Basin</t>
  </si>
  <si>
    <t>Mercy</t>
  </si>
  <si>
    <t>Aquino</t>
  </si>
  <si>
    <t>maquino@fusdaz.org</t>
  </si>
  <si>
    <t>28682 N. Main</t>
  </si>
  <si>
    <t>Copper Basin Village</t>
  </si>
  <si>
    <t>Skyline Ranch Elementary School</t>
  </si>
  <si>
    <t>rmoreno@fusdaz.org</t>
  </si>
  <si>
    <t>1084 W. Santan Hills Drive</t>
  </si>
  <si>
    <t>Anthem Elementary School</t>
  </si>
  <si>
    <t>Turner</t>
  </si>
  <si>
    <t>kturner@fusdaz.org</t>
  </si>
  <si>
    <t>P.O. BOX 2850</t>
  </si>
  <si>
    <t>FLORENCE</t>
  </si>
  <si>
    <t>2700 ANTHEM WAY</t>
  </si>
  <si>
    <t>Circle Cross K8 STEM Academy</t>
  </si>
  <si>
    <t>FeMaria</t>
  </si>
  <si>
    <t>festrada@fusdaz.org</t>
  </si>
  <si>
    <t>35900 N. Charbray Drive</t>
  </si>
  <si>
    <t>Magma Ranch K8 School</t>
  </si>
  <si>
    <t>Groh</t>
  </si>
  <si>
    <t>tgroh@fusdaz.org</t>
  </si>
  <si>
    <t>10980 Desert Mounain Blvd</t>
  </si>
  <si>
    <t>San Tan Foothills High School</t>
  </si>
  <si>
    <t>Turcotte</t>
  </si>
  <si>
    <t>hturcotte@fusdaz.org</t>
  </si>
  <si>
    <t>1255 W Silverdal Road</t>
  </si>
  <si>
    <t>Poston Butte High School</t>
  </si>
  <si>
    <t>Dee</t>
  </si>
  <si>
    <t>Yazwa</t>
  </si>
  <si>
    <t>dyazwa@fusdaz.org</t>
  </si>
  <si>
    <t>32375 N Gantzel RD</t>
  </si>
  <si>
    <t>Mountain Vista Academy</t>
  </si>
  <si>
    <t>Tascha</t>
  </si>
  <si>
    <t>Mclaughlin</t>
  </si>
  <si>
    <t>Lead Cook</t>
  </si>
  <si>
    <t>tmclaughlin@fusdaz.org</t>
  </si>
  <si>
    <t>33622 N Mountain Vista Blvd</t>
  </si>
  <si>
    <t>Ray Unified District</t>
  </si>
  <si>
    <t>Joyleign</t>
  </si>
  <si>
    <t>Wormwood</t>
  </si>
  <si>
    <t>joyleign_wormwood@rayusd.org</t>
  </si>
  <si>
    <t>p.o.box 427</t>
  </si>
  <si>
    <t>kearny</t>
  </si>
  <si>
    <t>n. highway177</t>
  </si>
  <si>
    <t>Ray Elementary School</t>
  </si>
  <si>
    <t>701 N.HWY177</t>
  </si>
  <si>
    <t>KEARNY</t>
  </si>
  <si>
    <t>Ray JR/SR High School</t>
  </si>
  <si>
    <t>n highway 177</t>
  </si>
  <si>
    <t>Mammoth-San Manuel Unified District</t>
  </si>
  <si>
    <t>Joanna</t>
  </si>
  <si>
    <t>Foodservice Director</t>
  </si>
  <si>
    <t>diazjj@msmusd.org</t>
  </si>
  <si>
    <t>P.O. Box 406</t>
  </si>
  <si>
    <t>San Manuel</t>
  </si>
  <si>
    <t>711 McNab Parkway</t>
  </si>
  <si>
    <t>First Avenue Elementary School</t>
  </si>
  <si>
    <t>Creeley</t>
  </si>
  <si>
    <t>PO BOX 406</t>
  </si>
  <si>
    <t>First Avenue</t>
  </si>
  <si>
    <t>San Manuel High School</t>
  </si>
  <si>
    <t>Luna</t>
  </si>
  <si>
    <t>District Manager</t>
  </si>
  <si>
    <t>lunam@msmusd.org</t>
  </si>
  <si>
    <t>Superior Unified School District</t>
  </si>
  <si>
    <t>Melissa</t>
  </si>
  <si>
    <t>mperez@superiorusd.org</t>
  </si>
  <si>
    <t>1500 Panther Dr.</t>
  </si>
  <si>
    <t>Superior</t>
  </si>
  <si>
    <t>John F Kennedy School</t>
  </si>
  <si>
    <t>100 Panther Dr.</t>
  </si>
  <si>
    <t>Superior Junior High School</t>
  </si>
  <si>
    <t>Superior Junior/Senior High School</t>
  </si>
  <si>
    <t>Maricopa Unified School District</t>
  </si>
  <si>
    <t>Suzette</t>
  </si>
  <si>
    <t>Moe</t>
  </si>
  <si>
    <t>Director Child Nutrition Programs</t>
  </si>
  <si>
    <t>smoe@musd20.org</t>
  </si>
  <si>
    <t>44150 West Maricopa/CG Hwy</t>
  </si>
  <si>
    <t>Maricopa Elementary School</t>
  </si>
  <si>
    <t>Director Food Services</t>
  </si>
  <si>
    <t>18150 North Alterra Parkway</t>
  </si>
  <si>
    <t>Maricopa Wells Middle School</t>
  </si>
  <si>
    <t>45725 West Honeycutt</t>
  </si>
  <si>
    <t>Maricopa High School</t>
  </si>
  <si>
    <t>45012 West Honeycutt Road</t>
  </si>
  <si>
    <t>Santa Rosa Elementary School</t>
  </si>
  <si>
    <t>21400 North Santa Rosa Drive</t>
  </si>
  <si>
    <t>Pima Butte Elementary School</t>
  </si>
  <si>
    <t>42202 West Rancho El Dorado</t>
  </si>
  <si>
    <t>Santa Cruz Elementary School</t>
  </si>
  <si>
    <t>19845 North Costa del Sol</t>
  </si>
  <si>
    <t>Saddleback Elementary School</t>
  </si>
  <si>
    <t>18600 North Porter Road</t>
  </si>
  <si>
    <t>43800 West Honeycutt Road</t>
  </si>
  <si>
    <t>Desert Wind Middle School</t>
  </si>
  <si>
    <t>35565 West Honeycutt Road</t>
  </si>
  <si>
    <t>Coolidge Unified District</t>
  </si>
  <si>
    <t>Lisa.avila@coolidgeschools.org</t>
  </si>
  <si>
    <t>450 N. Az. Blvd.</t>
  </si>
  <si>
    <t>Coolidge</t>
  </si>
  <si>
    <t>600 W. NORTHERN</t>
  </si>
  <si>
    <t>COOLIDGE</t>
  </si>
  <si>
    <t>Temporary Assignment to Brandon Estrada</t>
  </si>
  <si>
    <t>West Elementary School</t>
  </si>
  <si>
    <t>lisa.avila@coolidgeschools.org</t>
  </si>
  <si>
    <t>460 S. 7TH STREET</t>
  </si>
  <si>
    <t>Coolidge Jr. High School</t>
  </si>
  <si>
    <t>450. N. Arizona Blvd.</t>
  </si>
  <si>
    <t>800 W. Northern</t>
  </si>
  <si>
    <t>Coolidge High School</t>
  </si>
  <si>
    <t>450 W. Northern Ave</t>
  </si>
  <si>
    <t>Heartland Ranch Elementary School</t>
  </si>
  <si>
    <t>450 N. Arizona Blvd.</t>
  </si>
  <si>
    <t>1667 W. Caroline St.</t>
  </si>
  <si>
    <t>Coolidge Alternative Program</t>
  </si>
  <si>
    <t>800 N. 9th Street</t>
  </si>
  <si>
    <t>Apache Junction Unified District</t>
  </si>
  <si>
    <t>Warhus</t>
  </si>
  <si>
    <t>kwarhus@goaj.org</t>
  </si>
  <si>
    <t>1575 West Southern  #5</t>
  </si>
  <si>
    <t>Apache Junction</t>
  </si>
  <si>
    <t>Four Peaks Elementary School</t>
  </si>
  <si>
    <t>Heidi</t>
  </si>
  <si>
    <t>Deniz</t>
  </si>
  <si>
    <t>hdeniz@goaj.org</t>
  </si>
  <si>
    <t>1575 West Southern #5</t>
  </si>
  <si>
    <t>1755 North Idaho Road</t>
  </si>
  <si>
    <t>Desert Vista Elementary School</t>
  </si>
  <si>
    <t>Candice</t>
  </si>
  <si>
    <t>Wagner</t>
  </si>
  <si>
    <t>cwagner@goaj.org</t>
  </si>
  <si>
    <t>3701 East Broadway</t>
  </si>
  <si>
    <t>Cactus Canyon Junior High</t>
  </si>
  <si>
    <t>Turley</t>
  </si>
  <si>
    <t>lturley@goaj.org</t>
  </si>
  <si>
    <t>801 West Southern Ave.</t>
  </si>
  <si>
    <t>Apache Junction High School</t>
  </si>
  <si>
    <t>Rowe</t>
  </si>
  <si>
    <t>trowe@goaj.org</t>
  </si>
  <si>
    <t>2525 South Ironwood</t>
  </si>
  <si>
    <t>Peralta Trail Elementary School</t>
  </si>
  <si>
    <t>Shook</t>
  </si>
  <si>
    <t>tshook@goaj.org</t>
  </si>
  <si>
    <t>10965 East Peralta Road</t>
  </si>
  <si>
    <t>Oracle Elementary District</t>
  </si>
  <si>
    <t>Clinton</t>
  </si>
  <si>
    <t>cclinton@osd2.org</t>
  </si>
  <si>
    <t>725 N. Carpenter Dr.</t>
  </si>
  <si>
    <t>Oracle</t>
  </si>
  <si>
    <t>2618 El Paseo</t>
  </si>
  <si>
    <t>Mountain Vista School</t>
  </si>
  <si>
    <t>J O Combs Unified School District</t>
  </si>
  <si>
    <t>Rich</t>
  </si>
  <si>
    <t>Dobson</t>
  </si>
  <si>
    <t>Director of Support Services</t>
  </si>
  <si>
    <t>rdobson@jocomsb.org</t>
  </si>
  <si>
    <t>301 East Combs Rd</t>
  </si>
  <si>
    <t>J. O. Combs Middle School</t>
  </si>
  <si>
    <t>Melinda</t>
  </si>
  <si>
    <t>Weigel</t>
  </si>
  <si>
    <t>mweigel@jocombs.org</t>
  </si>
  <si>
    <t>301 E. Combs Rd</t>
  </si>
  <si>
    <t>37611 N. Pecan Creek Drive</t>
  </si>
  <si>
    <t>Kathryn Sue Simonton Elementary</t>
  </si>
  <si>
    <t>Carri</t>
  </si>
  <si>
    <t>Yenkala</t>
  </si>
  <si>
    <t>cyenkala@jocombs.org</t>
  </si>
  <si>
    <t>40300 N. Simonton Blvd</t>
  </si>
  <si>
    <t>Jack Harmon Elementary School</t>
  </si>
  <si>
    <t>Shaw</t>
  </si>
  <si>
    <t>lshaw@jocombs.org</t>
  </si>
  <si>
    <t>39315 N. Cortona Drive</t>
  </si>
  <si>
    <t>Ellsworth Elementary School</t>
  </si>
  <si>
    <t>Kendra</t>
  </si>
  <si>
    <t>Black</t>
  </si>
  <si>
    <t>kblack@jocombs.org</t>
  </si>
  <si>
    <t>38454 N. Carolina Avenue</t>
  </si>
  <si>
    <t>Combs High School</t>
  </si>
  <si>
    <t>Josie</t>
  </si>
  <si>
    <t>food service manager</t>
  </si>
  <si>
    <t>jgarcia2@jocombs.org</t>
  </si>
  <si>
    <t>2505 East Germann Rd</t>
  </si>
  <si>
    <t>Ranch Elementary School</t>
  </si>
  <si>
    <t>Calvert</t>
  </si>
  <si>
    <t>bcalvert@jocombs.org</t>
  </si>
  <si>
    <t>43521 N. Kenworthy Avenue</t>
  </si>
  <si>
    <t>Combs Traditional Academy</t>
  </si>
  <si>
    <t>Bianca</t>
  </si>
  <si>
    <t>Laguna</t>
  </si>
  <si>
    <t>Cafeteria manager</t>
  </si>
  <si>
    <t>blaguna@jocombs.org</t>
  </si>
  <si>
    <t>37327 N. Gantzel Rd</t>
  </si>
  <si>
    <t>Casa Grande Elementary District</t>
  </si>
  <si>
    <t>Alysia</t>
  </si>
  <si>
    <t>Ruelas</t>
  </si>
  <si>
    <t>alysia.ruelas@cgelem.k12.az.us</t>
  </si>
  <si>
    <t>220 W. Kortsen Rd</t>
  </si>
  <si>
    <t>501 S. Florence St</t>
  </si>
  <si>
    <t>Kathleen</t>
  </si>
  <si>
    <t>Zollner</t>
  </si>
  <si>
    <t>Satellite Kitchen Manager</t>
  </si>
  <si>
    <t>kathleen.zollner@cgelem.k12.az.us</t>
  </si>
  <si>
    <t>220 W. Kortsen Rd.</t>
  </si>
  <si>
    <t>1667 N. Kadota</t>
  </si>
  <si>
    <t>Evergreen Elementary School</t>
  </si>
  <si>
    <t>Adams</t>
  </si>
  <si>
    <t>Satellite Manager</t>
  </si>
  <si>
    <t>pamela.adams@cgelem.k12.az.us</t>
  </si>
  <si>
    <t>1000 N. Amarillo</t>
  </si>
  <si>
    <t>Palo Verde School</t>
  </si>
  <si>
    <t>Devis Solano</t>
  </si>
  <si>
    <t>rosa.devis-solano@cgelem.k12.az.us</t>
  </si>
  <si>
    <t>40 N. Roosevelt Ave.</t>
  </si>
  <si>
    <t>Saguaro Elementary School</t>
  </si>
  <si>
    <t>mary.rodriguez@cgelem.k12.az.us</t>
  </si>
  <si>
    <t>300 W McMurray Blvd</t>
  </si>
  <si>
    <t>Casa Grande Middle School</t>
  </si>
  <si>
    <t>300 W. McMurray</t>
  </si>
  <si>
    <t>Cholla Elementary School</t>
  </si>
  <si>
    <t>Santos</t>
  </si>
  <si>
    <t>jessica.santos@cgelem.k12.az.us</t>
  </si>
  <si>
    <t>1180 E. Kortsen</t>
  </si>
  <si>
    <t>Ironwood School</t>
  </si>
  <si>
    <t>Guerrero</t>
  </si>
  <si>
    <t>maryann.guerrero@cgelem.k12.az.us</t>
  </si>
  <si>
    <t>1500 N. Colorado</t>
  </si>
  <si>
    <t>maria.chavez@cgelem.k12.az.us</t>
  </si>
  <si>
    <t>129 N Arizola Rd.</t>
  </si>
  <si>
    <t>Cactus Middle School</t>
  </si>
  <si>
    <t>Anderson</t>
  </si>
  <si>
    <t>veronica.anderson@cgelem.k12.az.us</t>
  </si>
  <si>
    <t>220 W. Kortsen</t>
  </si>
  <si>
    <t>1220 E. Kortsen Rd</t>
  </si>
  <si>
    <t>Wall</t>
  </si>
  <si>
    <t>caryn.wall@cgelem.k12.az.us</t>
  </si>
  <si>
    <t>2172 N Arizola Rd</t>
  </si>
  <si>
    <t>McCartney Ranch Elementary School</t>
  </si>
  <si>
    <t>Chavarin</t>
  </si>
  <si>
    <t>irma.chavarin@cgelem.k12.az.us</t>
  </si>
  <si>
    <t>2631 N Brown Ave.</t>
  </si>
  <si>
    <t>Villago Middle School</t>
  </si>
  <si>
    <t>Ida</t>
  </si>
  <si>
    <t>Mejia</t>
  </si>
  <si>
    <t>ida.mejia@cgelem.k12.az.us</t>
  </si>
  <si>
    <t>220 W Kortsen Rd</t>
  </si>
  <si>
    <t>574 E Lakeside Parkway</t>
  </si>
  <si>
    <t>Red Rock Elementary District</t>
  </si>
  <si>
    <t>ANNETTE</t>
  </si>
  <si>
    <t>GARNER</t>
  </si>
  <si>
    <t>agarner@redrockschools.com</t>
  </si>
  <si>
    <t>PO Box 1010</t>
  </si>
  <si>
    <t>Red Rock</t>
  </si>
  <si>
    <t>20854 E. Homestead Drive</t>
  </si>
  <si>
    <t>Red Rock Elementary School</t>
  </si>
  <si>
    <t>CATHY</t>
  </si>
  <si>
    <t>SHULL</t>
  </si>
  <si>
    <t>STUDENT SERVICES</t>
  </si>
  <si>
    <t>cshull@redrockschools.com</t>
  </si>
  <si>
    <t>PO BOX 1010</t>
  </si>
  <si>
    <t>RED ROCK</t>
  </si>
  <si>
    <t>Eloy Elementary District</t>
  </si>
  <si>
    <t>Trina</t>
  </si>
  <si>
    <t>Masters</t>
  </si>
  <si>
    <t>trina.masters@eloyesd.net</t>
  </si>
  <si>
    <t>1011 N. Sunshine Blvd.</t>
  </si>
  <si>
    <t>Curiel School</t>
  </si>
  <si>
    <t>1011 North Sunshine Blvd</t>
  </si>
  <si>
    <t>1000 North Curiel Street</t>
  </si>
  <si>
    <t>Eloy Intermediate School</t>
  </si>
  <si>
    <t>1005 N. Santa Cruz</t>
  </si>
  <si>
    <t>Eloy Junior High School</t>
  </si>
  <si>
    <t>404 E. Phoenix</t>
  </si>
  <si>
    <t>Sacaton Elementary District</t>
  </si>
  <si>
    <t>William</t>
  </si>
  <si>
    <t>Trotter</t>
  </si>
  <si>
    <t>wtrotter@sacatonschools.org</t>
  </si>
  <si>
    <t>Sacaton</t>
  </si>
  <si>
    <t>92 South Skill Center Road</t>
  </si>
  <si>
    <t>Sacaton Elementary</t>
  </si>
  <si>
    <t>542 West Gradeschool Road</t>
  </si>
  <si>
    <t>Sacaton Middle School</t>
  </si>
  <si>
    <t>150 North Skill Center Road</t>
  </si>
  <si>
    <t>Toltec School District</t>
  </si>
  <si>
    <t>Eddy</t>
  </si>
  <si>
    <t>geddy@toltecsd.org</t>
  </si>
  <si>
    <t>3315 N. Toltec Rd.</t>
  </si>
  <si>
    <t>Toltec Elementary School</t>
  </si>
  <si>
    <t>Walter</t>
  </si>
  <si>
    <t>Parmer</t>
  </si>
  <si>
    <t>wparmer@toltecsd.org</t>
  </si>
  <si>
    <t>3315 N. Toltec Road</t>
  </si>
  <si>
    <t>Arizona City Elementary School</t>
  </si>
  <si>
    <t>12155 W. Benito Drive</t>
  </si>
  <si>
    <t>Arizona City</t>
  </si>
  <si>
    <t>Stanfield Elementary District</t>
  </si>
  <si>
    <t>Dippold</t>
  </si>
  <si>
    <t>FSMC Food Service Director</t>
  </si>
  <si>
    <t>cdippold@roadrunners24.net</t>
  </si>
  <si>
    <t>515 S. Stanfield Rd</t>
  </si>
  <si>
    <t>Stanfield</t>
  </si>
  <si>
    <t>Stanfield Elementary School</t>
  </si>
  <si>
    <t>Lorinda</t>
  </si>
  <si>
    <t>El Aouita</t>
  </si>
  <si>
    <t>Business Services III</t>
  </si>
  <si>
    <t>lelaouita@roadrunners24.net</t>
  </si>
  <si>
    <t>515 S. Stanfield Rd.</t>
  </si>
  <si>
    <t>Picacho Elementary District</t>
  </si>
  <si>
    <t>vjimenez@picacho.k12.az.us</t>
  </si>
  <si>
    <t>17865 S Vail Rd</t>
  </si>
  <si>
    <t>PICACHO</t>
  </si>
  <si>
    <t>Picacho School</t>
  </si>
  <si>
    <t>Claudia</t>
  </si>
  <si>
    <t>cvasquez@picacho.k12.az.us</t>
  </si>
  <si>
    <t>Picacho</t>
  </si>
  <si>
    <t>Casa Grande Union High School District</t>
  </si>
  <si>
    <t>Gina</t>
  </si>
  <si>
    <t>Salazar</t>
  </si>
  <si>
    <t>Finance Director</t>
  </si>
  <si>
    <t>gsalazar@cgushd.org</t>
  </si>
  <si>
    <t>1362 N Casa Grande Ave</t>
  </si>
  <si>
    <t>Temporary Assignment to Emmy Clarke</t>
  </si>
  <si>
    <t>Casa Grande Union High School</t>
  </si>
  <si>
    <t>Carls</t>
  </si>
  <si>
    <t>Wells</t>
  </si>
  <si>
    <t>Food Service Admin</t>
  </si>
  <si>
    <t>foodservice@cguhs.org</t>
  </si>
  <si>
    <t>2730 N Trekell Road</t>
  </si>
  <si>
    <t>Vista Grande High School</t>
  </si>
  <si>
    <t>1556 N Arizola Road</t>
  </si>
  <si>
    <t>Santa Cruz Valley Union High School District</t>
  </si>
  <si>
    <t>Debi</t>
  </si>
  <si>
    <t>Tabeling</t>
  </si>
  <si>
    <t>dtabeling@scvuhs.org</t>
  </si>
  <si>
    <t>900 N. Main Street</t>
  </si>
  <si>
    <t>Santa Cruz Valley Union High School</t>
  </si>
  <si>
    <t>geddy@scvuhs.org</t>
  </si>
  <si>
    <t>900 North Main Street</t>
  </si>
  <si>
    <t>Nogales Unified District</t>
  </si>
  <si>
    <t>Adelmo</t>
  </si>
  <si>
    <t>asandoval@nusd.k12.az.us</t>
  </si>
  <si>
    <t>310 W Plum St</t>
  </si>
  <si>
    <t>P.O. Box 5000</t>
  </si>
  <si>
    <t>Nogales</t>
  </si>
  <si>
    <t>Alcantar</t>
  </si>
  <si>
    <t>Student Activites/Food Service Specialist</t>
  </si>
  <si>
    <t>salcantar@nusd.k12.az.us</t>
  </si>
  <si>
    <t>310 W PLum St</t>
  </si>
  <si>
    <t>340 Blvd Del Rey David</t>
  </si>
  <si>
    <t>Francisco Vasquez De Coronado Elementary School</t>
  </si>
  <si>
    <t>Irene</t>
  </si>
  <si>
    <t>Lunch Clerk</t>
  </si>
  <si>
    <t>ivaldez@nusd.k12.az.us</t>
  </si>
  <si>
    <t>2301 N Al Harrison Blvd</t>
  </si>
  <si>
    <t>Wade Carpenter Middle School</t>
  </si>
  <si>
    <t>Student Activity/Food Service Specialist</t>
  </si>
  <si>
    <t>595 W Kino St</t>
  </si>
  <si>
    <t>Marissa</t>
  </si>
  <si>
    <t>mfavela@nusd.k12.az.us</t>
  </si>
  <si>
    <t>652 N Tyler Avenue</t>
  </si>
  <si>
    <t>A J Mitchell Elementary School</t>
  </si>
  <si>
    <t>amartinez@nusd.k12.az.us</t>
  </si>
  <si>
    <t>310 W. Plum Street</t>
  </si>
  <si>
    <t>855 N. Bautista</t>
  </si>
  <si>
    <t>Mary L Welty Elementary School</t>
  </si>
  <si>
    <t>Felix</t>
  </si>
  <si>
    <t>cfelix@nusd.k12.az.us</t>
  </si>
  <si>
    <t>1050 W Cimarron</t>
  </si>
  <si>
    <t>Challenger Elementary School</t>
  </si>
  <si>
    <t>Bojorquez</t>
  </si>
  <si>
    <t>dbojorquez@nusd.k12.az.us</t>
  </si>
  <si>
    <t>901 E Calle Mayer</t>
  </si>
  <si>
    <t>Pierson High School</t>
  </si>
  <si>
    <t>Student Activities/Food Service Specialist</t>
  </si>
  <si>
    <t>451 N Arroyo Blvd</t>
  </si>
  <si>
    <t>Nogales High School</t>
  </si>
  <si>
    <t>1905 N Apache Blvd</t>
  </si>
  <si>
    <t>Robert Bracker Elementary</t>
  </si>
  <si>
    <t>Elvia</t>
  </si>
  <si>
    <t>Batriz</t>
  </si>
  <si>
    <t>ebatriz@nusd.k12.az.us</t>
  </si>
  <si>
    <t>121 Camino Diez Mandamientos</t>
  </si>
  <si>
    <t>Santa Cruz Valley Unified District</t>
  </si>
  <si>
    <t>Isela</t>
  </si>
  <si>
    <t>ibrown@scv35.org</t>
  </si>
  <si>
    <t>1374 W Frontage Rd</t>
  </si>
  <si>
    <t>Rio Rico</t>
  </si>
  <si>
    <t>570 Camino Lito Galindo</t>
  </si>
  <si>
    <t>San Cayetano Elementary School</t>
  </si>
  <si>
    <t>Javier</t>
  </si>
  <si>
    <t>jCampos@scv35.org</t>
  </si>
  <si>
    <t>1412 W Frontage Rd</t>
  </si>
  <si>
    <t>Mountain View School</t>
  </si>
  <si>
    <t>1374 W. Frontage Rd.</t>
  </si>
  <si>
    <t>580 Camino Lito Galindo</t>
  </si>
  <si>
    <t>Calabasas School</t>
  </si>
  <si>
    <t>131 Camino Maricopa</t>
  </si>
  <si>
    <t>Rio Rico High School</t>
  </si>
  <si>
    <t>1374 W Frontage Rd.</t>
  </si>
  <si>
    <t>590 Camino Lito Galindo</t>
  </si>
  <si>
    <t>Coatimundi Middle School</t>
  </si>
  <si>
    <t>490 Avenida Coatimundi</t>
  </si>
  <si>
    <t>Santa Cruz Elementary District</t>
  </si>
  <si>
    <t>Meza</t>
  </si>
  <si>
    <t>dmeza@sced28.com</t>
  </si>
  <si>
    <t>HC2 Box 50</t>
  </si>
  <si>
    <t>7 Duquesne Rd.</t>
  </si>
  <si>
    <t>Little Red Schoolhouse</t>
  </si>
  <si>
    <t>Sonoita Elementary District</t>
  </si>
  <si>
    <t>Paul</t>
  </si>
  <si>
    <t>mpaul@elgink12.com</t>
  </si>
  <si>
    <t>23 Elgin Rd</t>
  </si>
  <si>
    <t>Elgin</t>
  </si>
  <si>
    <t>Elgin Elementary School</t>
  </si>
  <si>
    <t>Patagonia Union High School District</t>
  </si>
  <si>
    <t>Alba</t>
  </si>
  <si>
    <t>Morales</t>
  </si>
  <si>
    <t>amorales@patagonia.k12.az.us</t>
  </si>
  <si>
    <t>P.O. Box 254</t>
  </si>
  <si>
    <t>Patagonia</t>
  </si>
  <si>
    <t>Hwy 82</t>
  </si>
  <si>
    <t>Patagonia Elementary School</t>
  </si>
  <si>
    <t>Angelica</t>
  </si>
  <si>
    <t>alucero2@patagonia.k12.az.us</t>
  </si>
  <si>
    <t>P.O.Box 254</t>
  </si>
  <si>
    <t>Patagonia Union High School</t>
  </si>
  <si>
    <t>Mexicayotl Academy, Inc.</t>
  </si>
  <si>
    <t>Veronika</t>
  </si>
  <si>
    <t>mvpgarcia29@yahoo.com</t>
  </si>
  <si>
    <t>2059 N. Grand Ave.</t>
  </si>
  <si>
    <t>Mexicayotl Charter School</t>
  </si>
  <si>
    <t>Mexicayotl Academy</t>
  </si>
  <si>
    <t>NSLP Site Coordinator</t>
  </si>
  <si>
    <t>cramirez@mexicayotlacademytucson.com</t>
  </si>
  <si>
    <t>667 N. 7th Ave.</t>
  </si>
  <si>
    <t>Prescott Unified District</t>
  </si>
  <si>
    <t>Parsons</t>
  </si>
  <si>
    <t>Food Service Liaison</t>
  </si>
  <si>
    <t>ana.parsons@prescottschools.com</t>
  </si>
  <si>
    <t>926 1/2 Hinman Street</t>
  </si>
  <si>
    <t>Prescott</t>
  </si>
  <si>
    <t>Food Services Manager</t>
  </si>
  <si>
    <t>joe.russell@prescottschools.com</t>
  </si>
  <si>
    <t>201 Park AVenue</t>
  </si>
  <si>
    <t>Taylor Hicks School</t>
  </si>
  <si>
    <t>Cunningham</t>
  </si>
  <si>
    <t>debra.cunningham@prescottschools.com</t>
  </si>
  <si>
    <t>1845 Campbell Ave</t>
  </si>
  <si>
    <t>Abia Judd Elementary School</t>
  </si>
  <si>
    <t>Ford</t>
  </si>
  <si>
    <t>monica.ford@prescottschools.com</t>
  </si>
  <si>
    <t>1749 Williamson Valley Rd</t>
  </si>
  <si>
    <t>Prescott Mile High Middle School</t>
  </si>
  <si>
    <t>Chrissy</t>
  </si>
  <si>
    <t>Dolan</t>
  </si>
  <si>
    <t>chrissy.dolan@prescottschools.com</t>
  </si>
  <si>
    <t>300 S.Granite</t>
  </si>
  <si>
    <t>Granite Mountain Middle School</t>
  </si>
  <si>
    <t>Margaret</t>
  </si>
  <si>
    <t>VanDenAcre</t>
  </si>
  <si>
    <t>margaret.vandenacre@prescottschools.com</t>
  </si>
  <si>
    <t>1800 Williamson Valley Rd.</t>
  </si>
  <si>
    <t>Prescott High School</t>
  </si>
  <si>
    <t>Suzanne</t>
  </si>
  <si>
    <t>Seavey</t>
  </si>
  <si>
    <t>High School Manager</t>
  </si>
  <si>
    <t>suzanne.seavey@prescottschools.com</t>
  </si>
  <si>
    <t>1050 N Ruth Street</t>
  </si>
  <si>
    <t>Sacred Heart Parish School</t>
  </si>
  <si>
    <t>229 N.Summit Ave.</t>
  </si>
  <si>
    <t>Sedona-Oak Creek JUSD #9</t>
  </si>
  <si>
    <t>Shaw-Burton</t>
  </si>
  <si>
    <t>shaw-burton@sedonak12.org</t>
  </si>
  <si>
    <t>221 Brewer Rd.</t>
  </si>
  <si>
    <t>Sedona</t>
  </si>
  <si>
    <t>West Sedona Elementary School</t>
  </si>
  <si>
    <t>570 Posse Ground Road</t>
  </si>
  <si>
    <t>Sedona Red Rock Junior/Senior High School</t>
  </si>
  <si>
    <t>995 Upper Red Rock Loop Road</t>
  </si>
  <si>
    <t>Bagdad Unified District</t>
  </si>
  <si>
    <t>estradam@bagdadschools.org</t>
  </si>
  <si>
    <t>Bagdad</t>
  </si>
  <si>
    <t>515 Breezy Circle</t>
  </si>
  <si>
    <t>Bagdad Elementary School</t>
  </si>
  <si>
    <t>Bagdad Middle / Senior High School</t>
  </si>
  <si>
    <t>Humboldt Unified District</t>
  </si>
  <si>
    <t>Tami</t>
  </si>
  <si>
    <t>Hitt-Wyant</t>
  </si>
  <si>
    <t>tami.hitt-wyant@humboldtunified.com</t>
  </si>
  <si>
    <t>6411 N. Robert Road</t>
  </si>
  <si>
    <t>Building 200</t>
  </si>
  <si>
    <t>Prescott Valley</t>
  </si>
  <si>
    <t>Lake Valley Elementary School</t>
  </si>
  <si>
    <t>3900 Starlight Drive</t>
  </si>
  <si>
    <t>Bradshaw Mountain Middle School</t>
  </si>
  <si>
    <t>12255 Turquoise Circle</t>
  </si>
  <si>
    <t>Dewey</t>
  </si>
  <si>
    <t>Glassford Hill Middle School</t>
  </si>
  <si>
    <t>6901 Panther Path</t>
  </si>
  <si>
    <t>Humboldt Elementary School</t>
  </si>
  <si>
    <t>2750 S. Corral St.</t>
  </si>
  <si>
    <t>Humboldt</t>
  </si>
  <si>
    <t>8601 E. Loos Drive</t>
  </si>
  <si>
    <t>Coyote Springs Elementary School</t>
  </si>
  <si>
    <t>6625 North Cattletrack Drive</t>
  </si>
  <si>
    <t>Liberty Traditional School</t>
  </si>
  <si>
    <t>3300 N. Lake Valley Road</t>
  </si>
  <si>
    <t>Bradshaw Mountain High School</t>
  </si>
  <si>
    <t>6000 Long Look Drive</t>
  </si>
  <si>
    <t>Granville Elementary School</t>
  </si>
  <si>
    <t>5250 Stover Drive</t>
  </si>
  <si>
    <t>Camp Verde Unified District</t>
  </si>
  <si>
    <t>Steve</t>
  </si>
  <si>
    <t>Hicks</t>
  </si>
  <si>
    <t>shicks@campverdeschools.org</t>
  </si>
  <si>
    <t>410 Camp Lincoln Road</t>
  </si>
  <si>
    <t>Camp Verde</t>
  </si>
  <si>
    <t>Camp Verde Elementary School</t>
  </si>
  <si>
    <t>Jodi</t>
  </si>
  <si>
    <t>jyoung@campverdeschools.org</t>
  </si>
  <si>
    <t>Camp Verde Middle School</t>
  </si>
  <si>
    <t>jyoung@.campverdeschools.org</t>
  </si>
  <si>
    <t>Camp Verde High School</t>
  </si>
  <si>
    <t>jyoung@campverdeschool.org</t>
  </si>
  <si>
    <t>410 Camp Verde</t>
  </si>
  <si>
    <t>Camp Verde Accommodation School</t>
  </si>
  <si>
    <t>410 Camp Lincoln Rod</t>
  </si>
  <si>
    <t>South Verde Technology Magnet</t>
  </si>
  <si>
    <t>Ash Fork Joint Unified District</t>
  </si>
  <si>
    <t>Coffey</t>
  </si>
  <si>
    <t>mcoffey@afjusd.org</t>
  </si>
  <si>
    <t>Ash Fork</t>
  </si>
  <si>
    <t>46999 N. Fifth St.</t>
  </si>
  <si>
    <t>Ash Fork Elementary School</t>
  </si>
  <si>
    <t>Ash Fork Middle School</t>
  </si>
  <si>
    <t>P.O. Box 183</t>
  </si>
  <si>
    <t>46999 N. 5th Street</t>
  </si>
  <si>
    <t>Ash Fork High School</t>
  </si>
  <si>
    <t>Seligman Unified District</t>
  </si>
  <si>
    <t>sdexter@seligman.k12.az.us</t>
  </si>
  <si>
    <t>P.O. Box 650</t>
  </si>
  <si>
    <t>Seligman</t>
  </si>
  <si>
    <t>54255  N. Main Street</t>
  </si>
  <si>
    <t>Seligman Elementary School</t>
  </si>
  <si>
    <t>Brandi</t>
  </si>
  <si>
    <t>Lindemuth</t>
  </si>
  <si>
    <t>District Secretary</t>
  </si>
  <si>
    <t>blindemuth@seligman.12.az.us</t>
  </si>
  <si>
    <t>54255 N. Main Street</t>
  </si>
  <si>
    <t>Seligman High School</t>
  </si>
  <si>
    <t>blindemuth@seligman.k12.az.us</t>
  </si>
  <si>
    <t>Mayer Unified School District</t>
  </si>
  <si>
    <t>Susie.Allen@mayerschools.org</t>
  </si>
  <si>
    <t>P.O. Box 1059</t>
  </si>
  <si>
    <t>Mayer</t>
  </si>
  <si>
    <t>12606 E. Main St.</t>
  </si>
  <si>
    <t>Mayer High School</t>
  </si>
  <si>
    <t>susie.allen@mayerschools.org</t>
  </si>
  <si>
    <t>17300 E. Mule Deer Drive</t>
  </si>
  <si>
    <t>Mayer Elementary School</t>
  </si>
  <si>
    <t>12568 E. Main Street</t>
  </si>
  <si>
    <t>Chino Valley Unified District</t>
  </si>
  <si>
    <t>Rebekka</t>
  </si>
  <si>
    <t>Bartels</t>
  </si>
  <si>
    <t>Director of Special Services</t>
  </si>
  <si>
    <t>rbartels@chinovalleyschools.com</t>
  </si>
  <si>
    <t>650 E. Center St.</t>
  </si>
  <si>
    <t>Chino Valley</t>
  </si>
  <si>
    <t>Del Rio Elementary School</t>
  </si>
  <si>
    <t>Jinny</t>
  </si>
  <si>
    <t>Harner</t>
  </si>
  <si>
    <t>jharner@chinovalleyschools.com</t>
  </si>
  <si>
    <t>650 E. Center</t>
  </si>
  <si>
    <t>1036 N. Road 1 West</t>
  </si>
  <si>
    <t>Heritage Middle School</t>
  </si>
  <si>
    <t>1076 N. Road 1 West</t>
  </si>
  <si>
    <t>Chino Valley High School</t>
  </si>
  <si>
    <t>650 E. Center Street</t>
  </si>
  <si>
    <t>760 E. Center Street</t>
  </si>
  <si>
    <t>Territorial Early Childhood Center</t>
  </si>
  <si>
    <t>650 E. Center St</t>
  </si>
  <si>
    <t>1088 Mahan Lane</t>
  </si>
  <si>
    <t>Skull Valley Elementary District</t>
  </si>
  <si>
    <t>Weatherly</t>
  </si>
  <si>
    <t>darlene@skullvalleyschool.org</t>
  </si>
  <si>
    <t>P. O. Box 127</t>
  </si>
  <si>
    <t>Skull Valley</t>
  </si>
  <si>
    <t>3150 Old Skull Valley Rd. South</t>
  </si>
  <si>
    <t>Skull Valley Elementary School</t>
  </si>
  <si>
    <t>3150 So. Skull Valley Rd</t>
  </si>
  <si>
    <t>Congress Elementary District</t>
  </si>
  <si>
    <t>djimenez@congressdistrict.org</t>
  </si>
  <si>
    <t>P.O.Box 69</t>
  </si>
  <si>
    <t>congress</t>
  </si>
  <si>
    <t>26400 S. Tenderfoothill</t>
  </si>
  <si>
    <t>Congress Elementary School</t>
  </si>
  <si>
    <t>P.O. box 69</t>
  </si>
  <si>
    <t>26400 tenderfoot hill rd.</t>
  </si>
  <si>
    <t>Kirkland Elementary District</t>
  </si>
  <si>
    <t>Karry</t>
  </si>
  <si>
    <t>klewis@kirklandaz.org</t>
  </si>
  <si>
    <t>P.O. Box 210</t>
  </si>
  <si>
    <t>Kirkland</t>
  </si>
  <si>
    <t>14200 W. Kirkland-Hillside Rd.</t>
  </si>
  <si>
    <t>Kirkland Elementary School</t>
  </si>
  <si>
    <t>Beaver Creek Elementary District</t>
  </si>
  <si>
    <t>Garitson</t>
  </si>
  <si>
    <t>plgaritson@bcs.k12.az.us</t>
  </si>
  <si>
    <t>4810 E. Beaver Creek Rd.</t>
  </si>
  <si>
    <t>Rimrock</t>
  </si>
  <si>
    <t>Beaver Creek School</t>
  </si>
  <si>
    <t>Canon Elementary District</t>
  </si>
  <si>
    <t>Servin</t>
  </si>
  <si>
    <t>lservin@canonsd50.com</t>
  </si>
  <si>
    <t>P.O. Box 89</t>
  </si>
  <si>
    <t>Black Canyon City</t>
  </si>
  <si>
    <t>34630 S. School Loop Road</t>
  </si>
  <si>
    <t>Canon School</t>
  </si>
  <si>
    <t>Student Service</t>
  </si>
  <si>
    <t>PO Box 89</t>
  </si>
  <si>
    <t>Yarnell Elementary District</t>
  </si>
  <si>
    <t>Sherling</t>
  </si>
  <si>
    <t>kitchen manager</t>
  </si>
  <si>
    <t>ssherling@modelcreekschool.org</t>
  </si>
  <si>
    <t>18912 Hays Ranch Rd</t>
  </si>
  <si>
    <t>Peeples Valley</t>
  </si>
  <si>
    <t>Yarnell Elementary School</t>
  </si>
  <si>
    <t>18912 Hays Ranch Road</t>
  </si>
  <si>
    <t>Clarkdale-Jerome Elementary District</t>
  </si>
  <si>
    <t>Doerksen</t>
  </si>
  <si>
    <t>steve.doerksen@cjsd.k12.az.us</t>
  </si>
  <si>
    <t>1615 Main St</t>
  </si>
  <si>
    <t>Clarkdale</t>
  </si>
  <si>
    <t>1615 Main Street</t>
  </si>
  <si>
    <t>Clarkdale-Jerome Elementary School</t>
  </si>
  <si>
    <t>Wegman</t>
  </si>
  <si>
    <t>nwegman@cjsd.k12.az.us</t>
  </si>
  <si>
    <t>Cottonwood-Oak Creek Elementary District</t>
  </si>
  <si>
    <t>Bethany</t>
  </si>
  <si>
    <t>Campista</t>
  </si>
  <si>
    <t>bcampista@cocsd.k12.az.us</t>
  </si>
  <si>
    <t>1 Nth Willard St</t>
  </si>
  <si>
    <t>Attn: FS</t>
  </si>
  <si>
    <t>Cottonwood</t>
  </si>
  <si>
    <t>696 E. Mingus  Suite 103</t>
  </si>
  <si>
    <t>Cottonwood Education Services</t>
  </si>
  <si>
    <t>1 N. Willard</t>
  </si>
  <si>
    <t>301 N. Willard</t>
  </si>
  <si>
    <t>Cottonwood Community School</t>
  </si>
  <si>
    <t>1 N. Willard St</t>
  </si>
  <si>
    <t>500 E. Mingus Ave</t>
  </si>
  <si>
    <t>Oak Creek Elementary School</t>
  </si>
  <si>
    <t>11490 W. Purple Sage Drive</t>
  </si>
  <si>
    <t>Cornville</t>
  </si>
  <si>
    <t>Dr Daniel Bright Elementary School</t>
  </si>
  <si>
    <t>1500 Monte Tesoro Dr</t>
  </si>
  <si>
    <t>Mountain View Preparatory School</t>
  </si>
  <si>
    <t>1 N Willard St</t>
  </si>
  <si>
    <t>2939 Del Rio Drive</t>
  </si>
  <si>
    <t>Mingus Union High School District</t>
  </si>
  <si>
    <t>Marylou</t>
  </si>
  <si>
    <t>Nutrition Services Director</t>
  </si>
  <si>
    <t>mlopez@muhs.com</t>
  </si>
  <si>
    <t>1801 E. Fir street</t>
  </si>
  <si>
    <t>Mingus Union High School</t>
  </si>
  <si>
    <t>1801 E Fir Street</t>
  </si>
  <si>
    <t>Mingus Springs Charter School</t>
  </si>
  <si>
    <t>Siegfried</t>
  </si>
  <si>
    <t>Administravtive Secretary</t>
  </si>
  <si>
    <t>mingus@cableone.net</t>
  </si>
  <si>
    <t>3600 N. Sunset Drive</t>
  </si>
  <si>
    <t>Administrative Secretary</t>
  </si>
  <si>
    <t>3600 N Sunset Drive</t>
  </si>
  <si>
    <t>Franklin Phonetic Primary School, Inc.</t>
  </si>
  <si>
    <t>Sharie</t>
  </si>
  <si>
    <t>Banbury</t>
  </si>
  <si>
    <t>banbury@cox.net</t>
  </si>
  <si>
    <t>6116 Highway 69</t>
  </si>
  <si>
    <t>Franklin Phonetic Primary School</t>
  </si>
  <si>
    <t>Franklin Phonetic Primary School-Sunnyslope</t>
  </si>
  <si>
    <t>9317 N. Second St.</t>
  </si>
  <si>
    <t>Yuma Elementary District</t>
  </si>
  <si>
    <t>Thrower</t>
  </si>
  <si>
    <t>ethrower@yuma.org</t>
  </si>
  <si>
    <t>450 W Sixth Street</t>
  </si>
  <si>
    <t>Yuma</t>
  </si>
  <si>
    <t>Alice Byrne Elementary School</t>
  </si>
  <si>
    <t>450 W 6th Street</t>
  </si>
  <si>
    <t>811 W 16th Street</t>
  </si>
  <si>
    <t>George Washington Carver Elementary School</t>
  </si>
  <si>
    <t>1341 W 5th Street</t>
  </si>
  <si>
    <t>C W Mcgraw Elementary School</t>
  </si>
  <si>
    <t>2345 S Arizona Ave</t>
  </si>
  <si>
    <t>O C Johnson School</t>
  </si>
  <si>
    <t>1201 W 12th Street</t>
  </si>
  <si>
    <t>Palmcroft Elementary School</t>
  </si>
  <si>
    <t>901 Palmcroft Drive</t>
  </si>
  <si>
    <t>Pecan Grove Elementary School</t>
  </si>
  <si>
    <t>600 S 21st Ave</t>
  </si>
  <si>
    <t>Roosevelt School</t>
  </si>
  <si>
    <t>450 W. 6th St.</t>
  </si>
  <si>
    <t>550 5th St</t>
  </si>
  <si>
    <t>James B Rolle School</t>
  </si>
  <si>
    <t>2711 Engler Ave</t>
  </si>
  <si>
    <t>Mary A Otondo Elementary School</t>
  </si>
  <si>
    <t>2251 Otondo Drive</t>
  </si>
  <si>
    <t>Desert Mesa Elementary School</t>
  </si>
  <si>
    <t>2350 S Ave 7 1/2 E</t>
  </si>
  <si>
    <t>Fourth Avenue Junior High School</t>
  </si>
  <si>
    <t>450 5th Street</t>
  </si>
  <si>
    <t>Gila Vista Jr High School</t>
  </si>
  <si>
    <t>2245 Arizona Ave</t>
  </si>
  <si>
    <t>R Pete Woodard Jr High School</t>
  </si>
  <si>
    <t>2250 8th Avenue</t>
  </si>
  <si>
    <t>Castle Dome Middle School</t>
  </si>
  <si>
    <t>2353 S Otondo Drive</t>
  </si>
  <si>
    <t>Ron Watson Middle School</t>
  </si>
  <si>
    <t>9851 E. 28th St.</t>
  </si>
  <si>
    <t>450 W. 6th St</t>
  </si>
  <si>
    <t>9943 E. 28th St.</t>
  </si>
  <si>
    <t>Somerton Elementary District</t>
  </si>
  <si>
    <t>Jorge</t>
  </si>
  <si>
    <t>Cano</t>
  </si>
  <si>
    <t>jcano@ssd11.org</t>
  </si>
  <si>
    <t>P.O. Box 3200</t>
  </si>
  <si>
    <t>343 North Carlisle Avenue</t>
  </si>
  <si>
    <t>Somerton Middle School</t>
  </si>
  <si>
    <t>Amelia</t>
  </si>
  <si>
    <t>arod@somerton.k12.az.us</t>
  </si>
  <si>
    <t>Po Box 3200</t>
  </si>
  <si>
    <t>1011 N. Somerton Avenue</t>
  </si>
  <si>
    <t>Orange Grove Elementary School</t>
  </si>
  <si>
    <t>Porchas</t>
  </si>
  <si>
    <t>mcporchas@somerton.k12.az.us</t>
  </si>
  <si>
    <t>3525 W. County 16 1/2</t>
  </si>
  <si>
    <t>Desert Sonora Elementary School</t>
  </si>
  <si>
    <t>Cabrera</t>
  </si>
  <si>
    <t>franciscacabrera@ssd11.org</t>
  </si>
  <si>
    <t>PO Box 3200</t>
  </si>
  <si>
    <t>301 N. Carlisle Avenue</t>
  </si>
  <si>
    <t>Tierra Del Sol Elementary School</t>
  </si>
  <si>
    <t>Prado</t>
  </si>
  <si>
    <t>vprado@somerton.k12.az.us</t>
  </si>
  <si>
    <t>1002 S. Somerton Avenue</t>
  </si>
  <si>
    <t>Valle Del Encanto Learning Center</t>
  </si>
  <si>
    <t>anadsilva@ssd11.org</t>
  </si>
  <si>
    <t>Post Office Box 3200</t>
  </si>
  <si>
    <t>400 North Cesar Avenue</t>
  </si>
  <si>
    <t>Crane Elementary District</t>
  </si>
  <si>
    <t>Clark</t>
  </si>
  <si>
    <t>Director of School Nutrition</t>
  </si>
  <si>
    <t>mclark@craneschools.org</t>
  </si>
  <si>
    <t>4250 W. 16th Street</t>
  </si>
  <si>
    <t>4250 W. !6th St.</t>
  </si>
  <si>
    <t>2803 W. 20th St.</t>
  </si>
  <si>
    <t>Rancho Viejo Elementary School</t>
  </si>
  <si>
    <t>1020 S. Avenue C</t>
  </si>
  <si>
    <t>Crane Middle School</t>
  </si>
  <si>
    <t>3175 S. 45th Ave.</t>
  </si>
  <si>
    <t>Ronald Reagan Fundamental School</t>
  </si>
  <si>
    <t>4250 W. 16th St.</t>
  </si>
  <si>
    <t>3200 W. 16th St.</t>
  </si>
  <si>
    <t>H L Suverkrup Elementary School</t>
  </si>
  <si>
    <t>1590 Avenue C</t>
  </si>
  <si>
    <t>Valley Horizon Elementary School</t>
  </si>
  <si>
    <t>Food Service Driector</t>
  </si>
  <si>
    <t>4501 W. 20th St.</t>
  </si>
  <si>
    <t>Centennial Middle School</t>
  </si>
  <si>
    <t>2650 W. 20th Street</t>
  </si>
  <si>
    <t>Gary A. Knox Elementary School</t>
  </si>
  <si>
    <t>2926 S. 21st Drive</t>
  </si>
  <si>
    <t>Salida Del Sol Elementary</t>
  </si>
  <si>
    <t>School Nutrition Director</t>
  </si>
  <si>
    <t>4259 W. 16th Street</t>
  </si>
  <si>
    <t>910 Avenue C</t>
  </si>
  <si>
    <t>Mesquite Elementary</t>
  </si>
  <si>
    <t>4451 W. 28th Street</t>
  </si>
  <si>
    <t>Gowan Science Academy</t>
  </si>
  <si>
    <t>Nutrition Director</t>
  </si>
  <si>
    <t>Hyder Elementary District</t>
  </si>
  <si>
    <t>Cherokee</t>
  </si>
  <si>
    <t>Aldridge</t>
  </si>
  <si>
    <t>cherokeea2@excite.com</t>
  </si>
  <si>
    <t>P.O. Box 3001</t>
  </si>
  <si>
    <t>1300 S. Ave 64E</t>
  </si>
  <si>
    <t>Dateland Elementary School</t>
  </si>
  <si>
    <t>Mohawk Valley Elementary District</t>
  </si>
  <si>
    <t>Jaquelin</t>
  </si>
  <si>
    <t>Fox</t>
  </si>
  <si>
    <t>jfox@mohawk17.org</t>
  </si>
  <si>
    <t>5151 S. Ave. 39E</t>
  </si>
  <si>
    <t>Roll</t>
  </si>
  <si>
    <t>Temporary Assignment to Andrea Coffman</t>
  </si>
  <si>
    <t>Mohawk Valley School</t>
  </si>
  <si>
    <t>5151 S. Avenue 39E</t>
  </si>
  <si>
    <t>Wellton Elementary District</t>
  </si>
  <si>
    <t>Teresa G.</t>
  </si>
  <si>
    <t>Food Services Clerk/Director</t>
  </si>
  <si>
    <t>tvaldez@welltonschool.org</t>
  </si>
  <si>
    <t>P.O. BOX 517</t>
  </si>
  <si>
    <t>WELLTON</t>
  </si>
  <si>
    <t>29126 SAN JOSE AVENUE</t>
  </si>
  <si>
    <t>Wellton Elementary School</t>
  </si>
  <si>
    <t>FOOD SERVICE CLERK/Director</t>
  </si>
  <si>
    <t>29126 SAN JOSE AVE</t>
  </si>
  <si>
    <t>Gadsden Elementary District</t>
  </si>
  <si>
    <t>Garcia-Avila</t>
  </si>
  <si>
    <t>Assistant Food Service Director</t>
  </si>
  <si>
    <t>mgarcia-avila@gesd32.org</t>
  </si>
  <si>
    <t>P.O. BOX 687O</t>
  </si>
  <si>
    <t>SAN LUIS</t>
  </si>
  <si>
    <t>1350 E. Juan Sanchez Blvd</t>
  </si>
  <si>
    <t>Gadsden Elementary School</t>
  </si>
  <si>
    <t>Flor</t>
  </si>
  <si>
    <t>Carrasco</t>
  </si>
  <si>
    <t>fcamargo@gesd32.org</t>
  </si>
  <si>
    <t>P. O. Box 6870</t>
  </si>
  <si>
    <t>18745  S. Gadsden Street</t>
  </si>
  <si>
    <t>Gadsden</t>
  </si>
  <si>
    <t>Rio Colorado Elementary School</t>
  </si>
  <si>
    <t>pmendoza@gesd32.org</t>
  </si>
  <si>
    <t>P. O. BOX 6870</t>
  </si>
  <si>
    <t>1055 N.MAIN ST.</t>
  </si>
  <si>
    <t>San Luis Middle School</t>
  </si>
  <si>
    <t>Munoz</t>
  </si>
  <si>
    <t>frmunoz@gesd32.org</t>
  </si>
  <si>
    <t>1135 N.. MAIN STREET</t>
  </si>
  <si>
    <t>caestrada@gesd32.org</t>
  </si>
  <si>
    <t>P.O.BOX 6870</t>
  </si>
  <si>
    <t>1453 N.MAIN STREET</t>
  </si>
  <si>
    <t>Cesar Chavez Elementary</t>
  </si>
  <si>
    <t>Villareal</t>
  </si>
  <si>
    <t>mvillarreal@gesd32.org</t>
  </si>
  <si>
    <t>P.O. BOX 6870</t>
  </si>
  <si>
    <t>1130 N. 10TH AVENUE</t>
  </si>
  <si>
    <t>Desert View Elementary</t>
  </si>
  <si>
    <t>Manriquez</t>
  </si>
  <si>
    <t>lmanriquez@gesd32.org</t>
  </si>
  <si>
    <t>1508 N. 10TH AVE.</t>
  </si>
  <si>
    <t>Southwest Jr. High School</t>
  </si>
  <si>
    <t>Uriarte</t>
  </si>
  <si>
    <t>auriarte@gesd32.org</t>
  </si>
  <si>
    <t>963 N. 8TH AVENUE</t>
  </si>
  <si>
    <t>Ed Pastor Elementary 4</t>
  </si>
  <si>
    <t>mvasquez@gesd32.org</t>
  </si>
  <si>
    <t>985 N.6TH AVENUE</t>
  </si>
  <si>
    <t>Antelope Union High School District</t>
  </si>
  <si>
    <t>Robin</t>
  </si>
  <si>
    <t>Rinehart</t>
  </si>
  <si>
    <t>rorinehart@antelopeunion.org</t>
  </si>
  <si>
    <t>9168 South Avenue 36 E</t>
  </si>
  <si>
    <t>Wellton</t>
  </si>
  <si>
    <t>Antelope Union High School</t>
  </si>
  <si>
    <t>Yuma Union High School District</t>
  </si>
  <si>
    <t>Grace</t>
  </si>
  <si>
    <t>Pruit</t>
  </si>
  <si>
    <t>gpruit@yumaunion.org</t>
  </si>
  <si>
    <t>3150 South Avenue A, Suite B</t>
  </si>
  <si>
    <t>Yuma High School</t>
  </si>
  <si>
    <t>3150 S. Avenue A, Suite B</t>
  </si>
  <si>
    <t>400 South 6th Avenue</t>
  </si>
  <si>
    <t>Kofa High School</t>
  </si>
  <si>
    <t>grpuit@yumaunion.org</t>
  </si>
  <si>
    <t>3100 South Avenue A</t>
  </si>
  <si>
    <t>Cibola High School</t>
  </si>
  <si>
    <t>sgonzalez1@yumaunion.org</t>
  </si>
  <si>
    <t>4100 West 20th Street</t>
  </si>
  <si>
    <t>Vista Alternative School</t>
  </si>
  <si>
    <t>3150 S. Avenue A, Suite A</t>
  </si>
  <si>
    <t>San Luis High School</t>
  </si>
  <si>
    <t>1250 North 8th  Avenue</t>
  </si>
  <si>
    <t>Gila Ridge High School</t>
  </si>
  <si>
    <t>7150 East 24th Street</t>
  </si>
  <si>
    <t>Az-Tec High School</t>
  </si>
  <si>
    <t>Fran</t>
  </si>
  <si>
    <t>Assistant Principal</t>
  </si>
  <si>
    <t>frodriguez@courts.az.gov</t>
  </si>
  <si>
    <t>2330 W 28th St</t>
  </si>
  <si>
    <t>AZTEC High School</t>
  </si>
  <si>
    <t>Yuma Private Industry Council, Inc.</t>
  </si>
  <si>
    <t>Brian</t>
  </si>
  <si>
    <t>Grossenburg</t>
  </si>
  <si>
    <t>bgrossenburg@ypic.com</t>
  </si>
  <si>
    <t>3810 West 16th Street</t>
  </si>
  <si>
    <t>Educational Opportunity Center</t>
  </si>
  <si>
    <t>Parker Unified School District</t>
  </si>
  <si>
    <t>Bonds</t>
  </si>
  <si>
    <t>cbonds@parkerusd.org</t>
  </si>
  <si>
    <t>P.O. Box 1090</t>
  </si>
  <si>
    <t>1608 Laguna Ave.</t>
  </si>
  <si>
    <t>Blake Primary School</t>
  </si>
  <si>
    <t>701 S. Navajo Ave</t>
  </si>
  <si>
    <t>Wallace Elementary School</t>
  </si>
  <si>
    <t>1201 16th Street</t>
  </si>
  <si>
    <t>Le Pera Elementary School</t>
  </si>
  <si>
    <t>Rt. 1 Box 169</t>
  </si>
  <si>
    <t>191221 Tahbo Rd.</t>
  </si>
  <si>
    <t>Parker High School</t>
  </si>
  <si>
    <t>1600 S. Kofa Ave.</t>
  </si>
  <si>
    <t>Wallace Jr High School</t>
  </si>
  <si>
    <t>1320 18th street</t>
  </si>
  <si>
    <t>parker</t>
  </si>
  <si>
    <t>Quartzsite Elementary District</t>
  </si>
  <si>
    <t>Maria Patricia</t>
  </si>
  <si>
    <t>pmendoza@qsd4.org</t>
  </si>
  <si>
    <t>P.O. Box 130</t>
  </si>
  <si>
    <t>Ehrenberg</t>
  </si>
  <si>
    <t>49241 Ehrenberg Road</t>
  </si>
  <si>
    <t>Ehrenberg Elementary School</t>
  </si>
  <si>
    <t>Patricia Maria</t>
  </si>
  <si>
    <t>Pmendoza@qsd4.org</t>
  </si>
  <si>
    <t>Quartzsite Elementary School</t>
  </si>
  <si>
    <t>930 W. Quail Trail</t>
  </si>
  <si>
    <t>Quartzsite</t>
  </si>
  <si>
    <t>Wenden Elementary District</t>
  </si>
  <si>
    <t>Kristy</t>
  </si>
  <si>
    <t>Lott</t>
  </si>
  <si>
    <t>Cafeteria Manager/Food-Nutrition Services</t>
  </si>
  <si>
    <t>klott_49919@hotmail.com</t>
  </si>
  <si>
    <t>Wenden</t>
  </si>
  <si>
    <t>71001 E Santa Fe Ave</t>
  </si>
  <si>
    <t>Wenden Elementary School</t>
  </si>
  <si>
    <t>Cafeteria Manager/Food and Nutrition Services</t>
  </si>
  <si>
    <t>Bouse Elementary District</t>
  </si>
  <si>
    <t>P. O. Box  S</t>
  </si>
  <si>
    <t>Bouse</t>
  </si>
  <si>
    <t>44936 E. JOSHUA DRIVE</t>
  </si>
  <si>
    <t>BOUSE</t>
  </si>
  <si>
    <t>Bouse Elementary School</t>
  </si>
  <si>
    <t>PO BOX S</t>
  </si>
  <si>
    <t>44936 Joshua Drive</t>
  </si>
  <si>
    <t>Salome Consolidated Elementary District</t>
  </si>
  <si>
    <t>Food and Nutrition Services/Cafeteria Mgr.</t>
  </si>
  <si>
    <t>P.O. Box 339</t>
  </si>
  <si>
    <t>Salome</t>
  </si>
  <si>
    <t>38128 Saguaro</t>
  </si>
  <si>
    <t>Salome Elementary School</t>
  </si>
  <si>
    <t>Bicentennial Union High School District</t>
  </si>
  <si>
    <t>Friedle</t>
  </si>
  <si>
    <t>rfriedle@salomehs.org</t>
  </si>
  <si>
    <t>P.O. Box 519</t>
  </si>
  <si>
    <t>67488 E Salome Road</t>
  </si>
  <si>
    <t>Salome High School</t>
  </si>
  <si>
    <t>Integrity Education Incorporated</t>
  </si>
  <si>
    <t>integedoffice@gmail.com</t>
  </si>
  <si>
    <t>515 E. Continental Dr.</t>
  </si>
  <si>
    <t>Integrity Education Centre</t>
  </si>
  <si>
    <t>Paragon Management, Inc.</t>
  </si>
  <si>
    <t>Belinda</t>
  </si>
  <si>
    <t>Lehr</t>
  </si>
  <si>
    <t>NSLP Manager</t>
  </si>
  <si>
    <t>blehr@paradiseschools.org</t>
  </si>
  <si>
    <t>12775 N 175th Avenue</t>
  </si>
  <si>
    <t>Paradise Honors Elementary School</t>
  </si>
  <si>
    <t>Merritt</t>
  </si>
  <si>
    <t>Executive Administrative Assistant</t>
  </si>
  <si>
    <t>dmerritt@paradiseschools.org</t>
  </si>
  <si>
    <t>12775 N. 175th Avenue</t>
  </si>
  <si>
    <t>15533 W. Paradise Ln.</t>
  </si>
  <si>
    <t>Paradise Honors High School</t>
  </si>
  <si>
    <t>Executive Admin. Assistant</t>
  </si>
  <si>
    <t>12775 North 175th Avenue</t>
  </si>
  <si>
    <t>Cholla Academy</t>
  </si>
  <si>
    <t>Burgess</t>
  </si>
  <si>
    <t>kalidora@yahoo.com</t>
  </si>
  <si>
    <t>4141 N. 67th Ave</t>
  </si>
  <si>
    <t>Westland School</t>
  </si>
  <si>
    <t>Westland School Brighton Campus</t>
  </si>
  <si>
    <t>Kalidora@yahoo.com</t>
  </si>
  <si>
    <t>8632 W Northern Ave</t>
  </si>
  <si>
    <t>glendale</t>
  </si>
  <si>
    <t>P.L.C. Charter Schools</t>
  </si>
  <si>
    <t>Jenny</t>
  </si>
  <si>
    <t>jmichael@plccharterschools.org</t>
  </si>
  <si>
    <t>2504 s.91st ave</t>
  </si>
  <si>
    <t>tolleson</t>
  </si>
  <si>
    <t>Arts Academy at Estrella Mountain</t>
  </si>
  <si>
    <t>jenny</t>
  </si>
  <si>
    <t>michael</t>
  </si>
  <si>
    <t>food serice director</t>
  </si>
  <si>
    <t>2504 s.91st avenue</t>
  </si>
  <si>
    <t>Destiny School, Inc.</t>
  </si>
  <si>
    <t>Cothrun</t>
  </si>
  <si>
    <t>destinyschool@yahoo.com</t>
  </si>
  <si>
    <t>798 E. Prickly Pear Dr.</t>
  </si>
  <si>
    <t>Destiny School</t>
  </si>
  <si>
    <t>The Charter Foundation, Inc.</t>
  </si>
  <si>
    <t>Ireland</t>
  </si>
  <si>
    <t>vireland@amerischools.org</t>
  </si>
  <si>
    <t>1333 West Camelback Road</t>
  </si>
  <si>
    <t>AmeriSchools Academy - Camelback</t>
  </si>
  <si>
    <t>Administrator</t>
  </si>
  <si>
    <t>AmeriSchools Academy - Country Club</t>
  </si>
  <si>
    <t>Kidd</t>
  </si>
  <si>
    <t>Comptroller</t>
  </si>
  <si>
    <t>dkidd@amerischools.org</t>
  </si>
  <si>
    <t>1150 North Country Club Road</t>
  </si>
  <si>
    <t>Discovery Plus Academy</t>
  </si>
  <si>
    <t>Tricia</t>
  </si>
  <si>
    <t>dpamartinez@cableone.net</t>
  </si>
  <si>
    <t>PO Box 1089</t>
  </si>
  <si>
    <t>Pima</t>
  </si>
  <si>
    <t>852 W. 250 N.</t>
  </si>
  <si>
    <t>PO BOX 1089</t>
  </si>
  <si>
    <t>Challenge School, Inc.</t>
  </si>
  <si>
    <t>Sabrina</t>
  </si>
  <si>
    <t>Calderoon</t>
  </si>
  <si>
    <t>scalderon@challengecharterschool.net</t>
  </si>
  <si>
    <t>5801 W. Greenbriar Dr.</t>
  </si>
  <si>
    <t>Challenge Charter School</t>
  </si>
  <si>
    <t>Renae</t>
  </si>
  <si>
    <t>Niesen</t>
  </si>
  <si>
    <t>rniesen@challengecharterschool.net</t>
  </si>
  <si>
    <t>Ha:san Educational Services</t>
  </si>
  <si>
    <t>Jacob</t>
  </si>
  <si>
    <t>Pawson</t>
  </si>
  <si>
    <t>DFO</t>
  </si>
  <si>
    <t>jpawson@hasanprep.org</t>
  </si>
  <si>
    <t>1333 E. 10th Street</t>
  </si>
  <si>
    <t>Ha:san Preparatory &amp; Leadership School</t>
  </si>
  <si>
    <t>Director of Finance and Operations</t>
  </si>
  <si>
    <t>1333 E 10th Street</t>
  </si>
  <si>
    <t>Arizona Academy of Science And Technology, Inc.</t>
  </si>
  <si>
    <t>llopez@azast.org</t>
  </si>
  <si>
    <t>2920 North 7th Street</t>
  </si>
  <si>
    <t>Arizona Academy of Science and Technology</t>
  </si>
  <si>
    <t>Arizona State School for the Deaf and Blind</t>
  </si>
  <si>
    <t>Franco</t>
  </si>
  <si>
    <t>Program Manager Food Services</t>
  </si>
  <si>
    <t>patricia.franco@asdb.az.gov</t>
  </si>
  <si>
    <t>P.O. Box 85000</t>
  </si>
  <si>
    <t>1200 W. Speedway</t>
  </si>
  <si>
    <t>PHX DAY SCH/MD</t>
  </si>
  <si>
    <t>Food Service Program Manager</t>
  </si>
  <si>
    <t>7654 N 19th Avenue</t>
  </si>
  <si>
    <t>ASDB/Child Nutrition Program</t>
  </si>
  <si>
    <t>Edkey, Inc. - Sequoia Charter School</t>
  </si>
  <si>
    <t>Martin .</t>
  </si>
  <si>
    <t>Fraley</t>
  </si>
  <si>
    <t>martinf@edkey.org</t>
  </si>
  <si>
    <t>1460 S Horne</t>
  </si>
  <si>
    <t>American Heritage Academy - Cottonwood</t>
  </si>
  <si>
    <t>Morgan</t>
  </si>
  <si>
    <t>amorgan@edkey.org</t>
  </si>
  <si>
    <t>2030 E Cherry St</t>
  </si>
  <si>
    <t>Pathfinder Academy</t>
  </si>
  <si>
    <t>Stradling</t>
  </si>
  <si>
    <t>Susan.Stradling@edkey.org</t>
  </si>
  <si>
    <t>2906 N Boulder Canyon</t>
  </si>
  <si>
    <t>Sequoia Village School</t>
  </si>
  <si>
    <t>Theresa</t>
  </si>
  <si>
    <t>Lohr</t>
  </si>
  <si>
    <t>tlohr@edkey.org</t>
  </si>
  <si>
    <t>982 Fullhouse Lane</t>
  </si>
  <si>
    <t>Sequoia Secondary School</t>
  </si>
  <si>
    <t>Jesus</t>
  </si>
  <si>
    <t>Celaya</t>
  </si>
  <si>
    <t>Food Services Coord.</t>
  </si>
  <si>
    <t>jcelaya@edkey.org</t>
  </si>
  <si>
    <t>Edkey, Inc. - Sequoia Deaf School</t>
  </si>
  <si>
    <t>Arizona Conservatory for Arts and Academics Elementary School</t>
  </si>
  <si>
    <t>Birr</t>
  </si>
  <si>
    <t>Food Service Coord</t>
  </si>
  <si>
    <t>anne.birr@edkey.org</t>
  </si>
  <si>
    <t>16454 N 28th Avenue</t>
  </si>
  <si>
    <t>Sequoia Elementary School</t>
  </si>
  <si>
    <t>Arizona Conservatory for Arts and Academics</t>
  </si>
  <si>
    <t>2820 W Kelton Lane</t>
  </si>
  <si>
    <t>American Heritage Academy - Camp Verde</t>
  </si>
  <si>
    <t>syoung@edkey.org</t>
  </si>
  <si>
    <t>132 General Crook trail</t>
  </si>
  <si>
    <t>Children First Leadership Academy</t>
  </si>
  <si>
    <t>Food Service Cood</t>
  </si>
  <si>
    <t>Julie.Williams@edkey.org</t>
  </si>
  <si>
    <t>1648 S 16th St</t>
  </si>
  <si>
    <t>Edkey, Inc. - Precision Learning Center</t>
  </si>
  <si>
    <t>jwilliams@edkey.org</t>
  </si>
  <si>
    <t>1648 S. 16th St.</t>
  </si>
  <si>
    <t>Sequoia Village High School</t>
  </si>
  <si>
    <t>982 Full House Lane</t>
  </si>
  <si>
    <t>Arizona Conservatory for Arts and Academics Middle School</t>
  </si>
  <si>
    <t>Sequoia Pathway Academy</t>
  </si>
  <si>
    <t>Velchek</t>
  </si>
  <si>
    <t>rvelchek@edkey.org</t>
  </si>
  <si>
    <t>19625 N Porter Rd</t>
  </si>
  <si>
    <t>Edkey, Inc. - Pathfinder Academy - Sequoia Lehi</t>
  </si>
  <si>
    <t>Wilcox</t>
  </si>
  <si>
    <t>jwilcox@edkey.org</t>
  </si>
  <si>
    <t>2331 N Horne</t>
  </si>
  <si>
    <t>Edkey Inc. - Pathfinder Academy at Eastmark</t>
  </si>
  <si>
    <t>pboyd@edkey.org</t>
  </si>
  <si>
    <t>4850 W Eastmark Parkway</t>
  </si>
  <si>
    <t>George Washington Academy</t>
  </si>
  <si>
    <t>Swarts</t>
  </si>
  <si>
    <t>cswarts@edkey.org</t>
  </si>
  <si>
    <t>1945 S 1st East St</t>
  </si>
  <si>
    <t>KELLY</t>
  </si>
  <si>
    <t>Food Service Coord.</t>
  </si>
  <si>
    <t>St. Michaels Association for Special Education, Inc.</t>
  </si>
  <si>
    <t>Denetdeel</t>
  </si>
  <si>
    <t>adenetdeel@smase.org</t>
  </si>
  <si>
    <t>P.O. Drawer 100</t>
  </si>
  <si>
    <t>St. Michaels</t>
  </si>
  <si>
    <t>1 mi.N.of Hghwy. 264 on Mustang Rd.</t>
  </si>
  <si>
    <t>ST MICHAELS ASSOC FOR SPEC ED</t>
  </si>
  <si>
    <t>PO Box 100</t>
  </si>
  <si>
    <t>1 mile north of highway 264 on Mustang Road</t>
  </si>
  <si>
    <t>Red Rock Day School</t>
  </si>
  <si>
    <t>Alimudena</t>
  </si>
  <si>
    <t>Curley-Nelson</t>
  </si>
  <si>
    <t>alimudena.curleynel@bie.edu</t>
  </si>
  <si>
    <t>alimudena.curley-nel@bie.edu</t>
  </si>
  <si>
    <t>P.O. Box 2007</t>
  </si>
  <si>
    <t>Navajo Route 13</t>
  </si>
  <si>
    <t>Cook Helper</t>
  </si>
  <si>
    <t>Alimudena.curleynel@bie.edu</t>
  </si>
  <si>
    <t>Cottonwood Day School</t>
  </si>
  <si>
    <t>Braxton</t>
  </si>
  <si>
    <t>School Teacher</t>
  </si>
  <si>
    <t>paul.braxton@bie.edu</t>
  </si>
  <si>
    <t>Navajo Route 4</t>
  </si>
  <si>
    <t>Selina</t>
  </si>
  <si>
    <t>selina.yazzie@bie.edu</t>
  </si>
  <si>
    <t>MARICOPA DET-H</t>
  </si>
  <si>
    <t>hansong001@juvenile.maricopa.gov</t>
  </si>
  <si>
    <t>201 W. Jefferson</t>
  </si>
  <si>
    <t>CCB 4th floor Juvenile Finance Office</t>
  </si>
  <si>
    <t>3131 W Durango St</t>
  </si>
  <si>
    <t>Durango Detention</t>
  </si>
  <si>
    <t>CCB 4th Floor Juvenile Finance</t>
  </si>
  <si>
    <t>1810 S. Lewis</t>
  </si>
  <si>
    <t>Durango Juvenile Detention Facility</t>
  </si>
  <si>
    <t>201 W. Jefferson St.</t>
  </si>
  <si>
    <t>CCB 4th floor Juvenile Finance</t>
  </si>
  <si>
    <t>3131 W. Durango</t>
  </si>
  <si>
    <t>Devereux Arizona</t>
  </si>
  <si>
    <t>Brosius</t>
  </si>
  <si>
    <t>Finance Manager</t>
  </si>
  <si>
    <t>mbrosius@devereux.org</t>
  </si>
  <si>
    <t>2025 N. 3rd Street</t>
  </si>
  <si>
    <t>Suite 250</t>
  </si>
  <si>
    <t>6436 E. Sweetwater</t>
  </si>
  <si>
    <t>Devereux</t>
  </si>
  <si>
    <t>Deverly</t>
  </si>
  <si>
    <t>Fedee</t>
  </si>
  <si>
    <t>dfedee@devereux.org</t>
  </si>
  <si>
    <t>6436 E. Sweetwater Avenue</t>
  </si>
  <si>
    <t>SHADOW ROCK PRESCHOOL</t>
  </si>
  <si>
    <t>Jenni</t>
  </si>
  <si>
    <t>Brandt Rowen</t>
  </si>
  <si>
    <t>Financial Secretary</t>
  </si>
  <si>
    <t>jenni@shadowrockpreschool.org</t>
  </si>
  <si>
    <t>12861 N. 8th Avenue</t>
  </si>
  <si>
    <t>Salmon</t>
  </si>
  <si>
    <t>Assistant Director/Kitchen Manager</t>
  </si>
  <si>
    <t>nikki@shadowrockpreschool.org</t>
  </si>
  <si>
    <t>A New Leaf</t>
  </si>
  <si>
    <t>Kirby</t>
  </si>
  <si>
    <t>Hurlbut</t>
  </si>
  <si>
    <t>Director of Youth Services</t>
  </si>
  <si>
    <t>khurlbut@turnanewleaf.org</t>
  </si>
  <si>
    <t>868 E. University Dr.</t>
  </si>
  <si>
    <t>D Mitchell RES</t>
  </si>
  <si>
    <t>Program Manager</t>
  </si>
  <si>
    <t>drobles@turnanewleaf.org</t>
  </si>
  <si>
    <t>3505 E. University Dr.</t>
  </si>
  <si>
    <t>Larry Simmons Residence</t>
  </si>
  <si>
    <t>868 E. University Drive</t>
  </si>
  <si>
    <t>960 N. Stapley</t>
  </si>
  <si>
    <t>Alice Peterson Residence</t>
  </si>
  <si>
    <t>901 E. University Dr.</t>
  </si>
  <si>
    <t>THE NEW FOUNDATION</t>
  </si>
  <si>
    <t>Lynne</t>
  </si>
  <si>
    <t>Hastie</t>
  </si>
  <si>
    <t>lhastie@tnfaz.org</t>
  </si>
  <si>
    <t>1200 N 77th Street</t>
  </si>
  <si>
    <t>1200 North 77th Street</t>
  </si>
  <si>
    <t>1200 N 77th Streeet</t>
  </si>
  <si>
    <t>Southwest Education Center</t>
  </si>
  <si>
    <t>McGowan</t>
  </si>
  <si>
    <t>CFO</t>
  </si>
  <si>
    <t>brian.mcgowan@menta.com</t>
  </si>
  <si>
    <t>520 Camino Mercado #6</t>
  </si>
  <si>
    <t>Southwest Education Center - Casa Grande</t>
  </si>
  <si>
    <t>Richard</t>
  </si>
  <si>
    <t>business manager</t>
  </si>
  <si>
    <t>yvonne.richard@menta.com</t>
  </si>
  <si>
    <t>YOUTH DEVELOPMENT INSTITUTE</t>
  </si>
  <si>
    <t>Cocoros</t>
  </si>
  <si>
    <t>Co-Executive Director</t>
  </si>
  <si>
    <t>Trish.Cocoros@ydi.org</t>
  </si>
  <si>
    <t>1830 E. Roosevelt</t>
  </si>
  <si>
    <t>Administrative Direcctor</t>
  </si>
  <si>
    <t>jennifer.taylor@ydi.org</t>
  </si>
  <si>
    <t>1830 East Roosevelt St</t>
  </si>
  <si>
    <t>ACCEL</t>
  </si>
  <si>
    <t>Jonathan</t>
  </si>
  <si>
    <t>Evans</t>
  </si>
  <si>
    <t>jevans@accel.org</t>
  </si>
  <si>
    <t>10251 N. 35th Ave</t>
  </si>
  <si>
    <t>ACCEL Metro Campus</t>
  </si>
  <si>
    <t>Maselli</t>
  </si>
  <si>
    <t>Vocational Assistant</t>
  </si>
  <si>
    <t>dmaselli@accel.org</t>
  </si>
  <si>
    <t>10251 N. 35th Ave.</t>
  </si>
  <si>
    <t>LA PALOMA FAMILY SERVICES, INC.</t>
  </si>
  <si>
    <t>Zhang</t>
  </si>
  <si>
    <t>Accountant III</t>
  </si>
  <si>
    <t>lisa.zhang@lafrontera.org</t>
  </si>
  <si>
    <t>870 W Miracle Mile</t>
  </si>
  <si>
    <t>Accountant</t>
  </si>
  <si>
    <t>5457 E. 6th St.</t>
  </si>
  <si>
    <t>Amparo</t>
  </si>
  <si>
    <t>870 W. Miracle Mile</t>
  </si>
  <si>
    <t>1320 E. Blacklidge</t>
  </si>
  <si>
    <t>Diamondback</t>
  </si>
  <si>
    <t>870 W Miracle mile</t>
  </si>
  <si>
    <t>1654 N. Rosemont Blvd.</t>
  </si>
  <si>
    <t>Rough Rock School Board, Inc.</t>
  </si>
  <si>
    <t>Maxine</t>
  </si>
  <si>
    <t>Todecheenie</t>
  </si>
  <si>
    <t>maxine.todecheenie@roughrock.k12.us.az</t>
  </si>
  <si>
    <t>PO Box 680</t>
  </si>
  <si>
    <t>Elementary Cafeteria - hwy 59</t>
  </si>
  <si>
    <t>Rough Rock High School</t>
  </si>
  <si>
    <t>maxine.todecheenie@roughrock.k12.az.us</t>
  </si>
  <si>
    <t>High School Cafeteria - Hwy 59</t>
  </si>
  <si>
    <t>Rough Rock Middle School</t>
  </si>
  <si>
    <t>lead cook</t>
  </si>
  <si>
    <t>Rough Rock Middle School - hwy 59</t>
  </si>
  <si>
    <t>Rough Rock Elementary School</t>
  </si>
  <si>
    <t>Rough Rock Elementary - hwy 59</t>
  </si>
  <si>
    <t>Tonalea Day School</t>
  </si>
  <si>
    <t>Kate</t>
  </si>
  <si>
    <t>School Principal</t>
  </si>
  <si>
    <t>cheryl.kaye@bie.edu</t>
  </si>
  <si>
    <t>Tonalea School</t>
  </si>
  <si>
    <t>East US Highway 160, RT 21  P.O. Box 39</t>
  </si>
  <si>
    <t>Tonalea</t>
  </si>
  <si>
    <t>East  US Highway 160, RT 21 P.O. Box 39</t>
  </si>
  <si>
    <t>Goodman</t>
  </si>
  <si>
    <t>School Cafeteria Supervisor</t>
  </si>
  <si>
    <t>phyllis.goodman@bie.edu</t>
  </si>
  <si>
    <t>P.O. Box  # 39</t>
  </si>
  <si>
    <t>East on US hwy 160  Rt 21</t>
  </si>
  <si>
    <t>Tonaea School</t>
  </si>
  <si>
    <t>East on US Highway 160 Rt 21</t>
  </si>
  <si>
    <t>Tuba City Boarding School</t>
  </si>
  <si>
    <t>McCabe</t>
  </si>
  <si>
    <t>valencia.mccabe@bie.edu</t>
  </si>
  <si>
    <t>P. O. Box 187</t>
  </si>
  <si>
    <t>306 Main Street</t>
  </si>
  <si>
    <t>valencia</t>
  </si>
  <si>
    <t>mccabe</t>
  </si>
  <si>
    <t>Food service manager</t>
  </si>
  <si>
    <t>Tuba City,</t>
  </si>
  <si>
    <t>Our Lady Of Mt Carmel School</t>
  </si>
  <si>
    <t>Shewbridge</t>
  </si>
  <si>
    <t>kellyshewbridge@olmcschool.info</t>
  </si>
  <si>
    <t>2117 S. Rural Rd.</t>
  </si>
  <si>
    <t>Cornforth</t>
  </si>
  <si>
    <t>Lunch Program Coordinator</t>
  </si>
  <si>
    <t>olo_mt_carmel_school@diocesephoenix.org</t>
  </si>
  <si>
    <t>American Indian Christian Mission</t>
  </si>
  <si>
    <t>Whittlesey</t>
  </si>
  <si>
    <t>kitchen@aicm.org</t>
  </si>
  <si>
    <t>924 Mission Lane #1</t>
  </si>
  <si>
    <t>Black Mesa Community School</t>
  </si>
  <si>
    <t>Lynnette</t>
  </si>
  <si>
    <t>Greyeyes</t>
  </si>
  <si>
    <t>Support Service Business Supervisor</t>
  </si>
  <si>
    <t>lyngreyeyes@yahoo.com</t>
  </si>
  <si>
    <t>PO Box 97</t>
  </si>
  <si>
    <t>Route 8066 N. Pinon</t>
  </si>
  <si>
    <t>Leupp Schools Inc.</t>
  </si>
  <si>
    <t>Marco</t>
  </si>
  <si>
    <t>Faber</t>
  </si>
  <si>
    <t>Support service Manager</t>
  </si>
  <si>
    <t>mfaber@leuppschools.org</t>
  </si>
  <si>
    <t>Leupp Schools, Inc.</t>
  </si>
  <si>
    <t>HC 61, Box D, Highway 99</t>
  </si>
  <si>
    <t>Leupp Schools</t>
  </si>
  <si>
    <t>Support Service Mamager</t>
  </si>
  <si>
    <t>HC-61 Box D</t>
  </si>
  <si>
    <t>HC-61 Box D, Highway 99</t>
  </si>
  <si>
    <t>Greasewood Springs Community School, Inc.</t>
  </si>
  <si>
    <t>Bennie</t>
  </si>
  <si>
    <t>Curtis</t>
  </si>
  <si>
    <t>Lead Food Service Technician</t>
  </si>
  <si>
    <t>bennie.curtis@gscs-inc.net</t>
  </si>
  <si>
    <t>HC 58 Box 60</t>
  </si>
  <si>
    <t>26 miles South of Burnsides, Jct. Hy 15</t>
  </si>
  <si>
    <t>Greasewood Springs Community School</t>
  </si>
  <si>
    <t>26 miles South of Burnsides Juct. HW 15</t>
  </si>
  <si>
    <t>Rocky Ridge Boarding School</t>
  </si>
  <si>
    <t>Boone</t>
  </si>
  <si>
    <t>Kitchen Cook</t>
  </si>
  <si>
    <t>regina.boone@bie.edu</t>
  </si>
  <si>
    <t>PO Box 299</t>
  </si>
  <si>
    <t>Kykotsmovi</t>
  </si>
  <si>
    <t>10 miles North of Hwy. 264 on Dinnebeto Rd.</t>
  </si>
  <si>
    <t>PO Box # 299</t>
  </si>
  <si>
    <t>School Cook</t>
  </si>
  <si>
    <t>Regina.Boone@bie.edu</t>
  </si>
  <si>
    <t>P.O. Box # 299</t>
  </si>
  <si>
    <t>10 miles North of Hwy. 264 Dinnebito Rd.</t>
  </si>
  <si>
    <t>Dennehotso Boarding School</t>
  </si>
  <si>
    <t>ROSALIND</t>
  </si>
  <si>
    <t>REDHOUSE-JONES</t>
  </si>
  <si>
    <t>rosalind.redhouse-jones@bie.edu</t>
  </si>
  <si>
    <t>DENNEHOTSO BOARDING SCHOOL</t>
  </si>
  <si>
    <t>P.O. BOX 2570</t>
  </si>
  <si>
    <t>DENNEHOTSO</t>
  </si>
  <si>
    <t>EAST HIGHWAY 160</t>
  </si>
  <si>
    <t>PATRICIA</t>
  </si>
  <si>
    <t>BEGAY</t>
  </si>
  <si>
    <t>SCHOOL COOK SUPERVISOR</t>
  </si>
  <si>
    <t>patricia.begay@bie.edu</t>
  </si>
  <si>
    <t>Lourdes Catholic School</t>
  </si>
  <si>
    <t>Hopkins</t>
  </si>
  <si>
    <t>cafeteria@lcsnogales.org</t>
  </si>
  <si>
    <t>555 E. Patagonia Hwy</t>
  </si>
  <si>
    <t>555 E. Patagonia Highway</t>
  </si>
  <si>
    <t>Yuma County Juvenile Court Center</t>
  </si>
  <si>
    <t>Sherman</t>
  </si>
  <si>
    <t>Detention Supervisor</t>
  </si>
  <si>
    <t>dsherman@courts.az.gov</t>
  </si>
  <si>
    <t>2440 W. 28th Street</t>
  </si>
  <si>
    <t>DSherman@Courts.az.gov</t>
  </si>
  <si>
    <t>2440 W 28th Street</t>
  </si>
  <si>
    <t>Noah Webster Schools - Mesa</t>
  </si>
  <si>
    <t>balvarado@noahwebster.org</t>
  </si>
  <si>
    <t>7301 E. Baseline RD</t>
  </si>
  <si>
    <t>Noah Webster Schools- Mesa</t>
  </si>
  <si>
    <t>7301 E. Baseline Road</t>
  </si>
  <si>
    <t>Park View School, Inc.</t>
  </si>
  <si>
    <t>LINDA</t>
  </si>
  <si>
    <t>GOODMAN</t>
  </si>
  <si>
    <t>NSLP COORDINATOR</t>
  </si>
  <si>
    <t>LINDA.GOODMAN@PVCVEDU.ORG</t>
  </si>
  <si>
    <t>9030 E Florentine</t>
  </si>
  <si>
    <t>Park View Middle School</t>
  </si>
  <si>
    <t>Bowers</t>
  </si>
  <si>
    <t>betsy.bowers@pvcvedu.org</t>
  </si>
  <si>
    <t>Canyon View Prep Academy</t>
  </si>
  <si>
    <t>Lunch Cooridiinator</t>
  </si>
  <si>
    <t>Theodore Roosevelt School</t>
  </si>
  <si>
    <t>Brittnie</t>
  </si>
  <si>
    <t>Rockwell</t>
  </si>
  <si>
    <t>Receptionist</t>
  </si>
  <si>
    <t>brittnie.rockwell@trs.k12.az.us</t>
  </si>
  <si>
    <t>PO Box 567</t>
  </si>
  <si>
    <t>Ft. Apache</t>
  </si>
  <si>
    <t>805 Apache Street</t>
  </si>
  <si>
    <t>FT. Apache</t>
  </si>
  <si>
    <t>Fit Kids, Inc. dba Champion Schools</t>
  </si>
  <si>
    <t>Christopher</t>
  </si>
  <si>
    <t>Greene</t>
  </si>
  <si>
    <t>School Food Director</t>
  </si>
  <si>
    <t>cgreene@championschools.org</t>
  </si>
  <si>
    <t>250 S. McQueen Rd.</t>
  </si>
  <si>
    <t>Champion Schools</t>
  </si>
  <si>
    <t>Urquidez</t>
  </si>
  <si>
    <t>Nutrition Site Manager</t>
  </si>
  <si>
    <t>aurquidez@championschools.org</t>
  </si>
  <si>
    <t>7900 South Jesse Owens Parkway</t>
  </si>
  <si>
    <t>Champion Chandler</t>
  </si>
  <si>
    <t>Director of Food and Nutritionist</t>
  </si>
  <si>
    <t>Champion San Tan</t>
  </si>
  <si>
    <t>Schmeling</t>
  </si>
  <si>
    <t>aschmeling@championschools.org</t>
  </si>
  <si>
    <t>1846 E. Bella Vista Rd.</t>
  </si>
  <si>
    <t>New World Educational Center</t>
  </si>
  <si>
    <t>Caty</t>
  </si>
  <si>
    <t>cvalenzuela@nweccharter.com</t>
  </si>
  <si>
    <t>5818 N. 7th street</t>
  </si>
  <si>
    <t>cvalenzuela@nweccharted.com</t>
  </si>
  <si>
    <t>5818 N. 7th Street</t>
  </si>
  <si>
    <t>Pillar Academy Online</t>
  </si>
  <si>
    <t>Kaizen Education Foundation dba South Pointe Junior High School</t>
  </si>
  <si>
    <t>NSLP Adminstrator</t>
  </si>
  <si>
    <t>South Pointe Junior High School</t>
  </si>
  <si>
    <t>pamela.trotter@leonagroup.com</t>
  </si>
  <si>
    <t>217 E. Olympic Dr</t>
  </si>
  <si>
    <t>Many Farms High School</t>
  </si>
  <si>
    <t>Charlie</t>
  </si>
  <si>
    <t>School Cook Supervisor</t>
  </si>
  <si>
    <t>anna.charlie@bie.edu</t>
  </si>
  <si>
    <t>P.O. Box # 307</t>
  </si>
  <si>
    <t>Many Farms</t>
  </si>
  <si>
    <t>#1 Loop Drive</t>
  </si>
  <si>
    <t>PO Box #307</t>
  </si>
  <si>
    <t>Pathfinder Charter School Foundation</t>
  </si>
  <si>
    <t>Eileen</t>
  </si>
  <si>
    <t>Grove</t>
  </si>
  <si>
    <t>Regional NSLP Sponsor Representative</t>
  </si>
  <si>
    <t>eileen.grove@imagineschools.org</t>
  </si>
  <si>
    <t>6738 W McDowell Rd.</t>
  </si>
  <si>
    <t>Imagine Cortez Park Elementary</t>
  </si>
  <si>
    <t>Steffi</t>
  </si>
  <si>
    <t>steffi.mitchell@imagineschools.org</t>
  </si>
  <si>
    <t>3535 W. Dunlap Avenue</t>
  </si>
  <si>
    <t>Daisy Education Corporation dba Sonoran Science Academy</t>
  </si>
  <si>
    <t>Dana</t>
  </si>
  <si>
    <t>McGirr</t>
  </si>
  <si>
    <t>dmcgirr@sonoranschools.org</t>
  </si>
  <si>
    <t>2325 W Sunset Road</t>
  </si>
  <si>
    <t>Sonoran Science Academy - Tucson</t>
  </si>
  <si>
    <t>NSLP Coordinator - Site</t>
  </si>
  <si>
    <t>Calibre Academy</t>
  </si>
  <si>
    <t>Harmony</t>
  </si>
  <si>
    <t>Olson</t>
  </si>
  <si>
    <t>National School Lunch Program Coordinator</t>
  </si>
  <si>
    <t>harmony.olson@calibreacademy.com</t>
  </si>
  <si>
    <t>15688 W. Acoma Road</t>
  </si>
  <si>
    <t>Calibre Academy Surprise</t>
  </si>
  <si>
    <t>harmony.olson@learningmatters.org</t>
  </si>
  <si>
    <t>15688 West Acoma Rd</t>
  </si>
  <si>
    <t>Juniper Tree Academy</t>
  </si>
  <si>
    <t>Ryan</t>
  </si>
  <si>
    <t>Hackmann</t>
  </si>
  <si>
    <t>rhackmann@desertviewschools.com</t>
  </si>
  <si>
    <t>3777 W. 16th Street</t>
  </si>
  <si>
    <t>Desert View Academy</t>
  </si>
  <si>
    <t>Arreguin</t>
  </si>
  <si>
    <t>sarreguin@desertviewschools.com</t>
  </si>
  <si>
    <t>3777 W 16th Street</t>
  </si>
  <si>
    <t>Tucson Country Day School, Inc.</t>
  </si>
  <si>
    <t>Mosgrove</t>
  </si>
  <si>
    <t>LMosgrove@TCDSChampions.com</t>
  </si>
  <si>
    <t>9239 E Wrightstown Road</t>
  </si>
  <si>
    <t>Tucson Country Day School</t>
  </si>
  <si>
    <t>Cornerstone Charter School,Inc</t>
  </si>
  <si>
    <t>Casey</t>
  </si>
  <si>
    <t>Weiss</t>
  </si>
  <si>
    <t>cweiss@cornerstonehs.org</t>
  </si>
  <si>
    <t>7107 N. Black Canyon Highway</t>
  </si>
  <si>
    <t>Suite 200</t>
  </si>
  <si>
    <t>Cornerstone Charter School</t>
  </si>
  <si>
    <t>Happy Valley School, Inc.</t>
  </si>
  <si>
    <t>Seid</t>
  </si>
  <si>
    <t>Office Manager/NSLP Director</t>
  </si>
  <si>
    <t>nseid@happyvalleyschool.org</t>
  </si>
  <si>
    <t>7140 W. Happy Valley Road</t>
  </si>
  <si>
    <t>Burke Basic School</t>
  </si>
  <si>
    <t>bcastro@burkebasicschool.com</t>
  </si>
  <si>
    <t>131 E. Southern Ave</t>
  </si>
  <si>
    <t>Happy Valley School</t>
  </si>
  <si>
    <t>Skyline Schools, Inc.</t>
  </si>
  <si>
    <t>Dreger</t>
  </si>
  <si>
    <t>rdreger@skylineschools.com</t>
  </si>
  <si>
    <t>7490 s. 40th street</t>
  </si>
  <si>
    <t>Bldg. #3</t>
  </si>
  <si>
    <t>phoenix</t>
  </si>
  <si>
    <t>Skyline Prep High School</t>
  </si>
  <si>
    <t>7500 s. 40th street</t>
  </si>
  <si>
    <t>AZ Compass Prep School</t>
  </si>
  <si>
    <t>2020 N. Arizona Avenue</t>
  </si>
  <si>
    <t>Skyline D5</t>
  </si>
  <si>
    <t>robert</t>
  </si>
  <si>
    <t>dreger</t>
  </si>
  <si>
    <t>director</t>
  </si>
  <si>
    <t>3453 Casa Blanca Road</t>
  </si>
  <si>
    <t>Bapchule</t>
  </si>
  <si>
    <t>Vector Prep and Arts Academy</t>
  </si>
  <si>
    <t>Suite G60</t>
  </si>
  <si>
    <t>South Phoenix Prep and Arts Academy</t>
  </si>
  <si>
    <t>7450 s. 40th street</t>
  </si>
  <si>
    <t>South Valley Prep and Arts School</t>
  </si>
  <si>
    <t>7470 s. 40th street</t>
  </si>
  <si>
    <t>Southgate Academy, Inc.</t>
  </si>
  <si>
    <t>Dillon</t>
  </si>
  <si>
    <t>kdillon@southgateaz.org</t>
  </si>
  <si>
    <t>7842 E. Wrightstown Road</t>
  </si>
  <si>
    <t>850 W. VALENCIA RD.</t>
  </si>
  <si>
    <t>TUCSON</t>
  </si>
  <si>
    <t>Southgate Academy</t>
  </si>
  <si>
    <t>Accounting</t>
  </si>
  <si>
    <t>850 W. Valencia Road</t>
  </si>
  <si>
    <t>Painted Desert Demonstration Projects, Inc.</t>
  </si>
  <si>
    <t>Robyn</t>
  </si>
  <si>
    <t>robyn.david@starschool.org</t>
  </si>
  <si>
    <t>145 Leupp Road</t>
  </si>
  <si>
    <t>STAR Charter School</t>
  </si>
  <si>
    <t>Ball Charter Schools (Dobson)</t>
  </si>
  <si>
    <t>Kaitlyn</t>
  </si>
  <si>
    <t>Freedline</t>
  </si>
  <si>
    <t>Nutrition Coordinator</t>
  </si>
  <si>
    <t>kfreedline@ballcharterschools.org</t>
  </si>
  <si>
    <t>2207 N. Dobson Rd.</t>
  </si>
  <si>
    <t>Dobson Academy, The - A Ball Charter School</t>
  </si>
  <si>
    <t>Nutrition Services Coordinator</t>
  </si>
  <si>
    <t>KFreedline@ballcharterschools.org</t>
  </si>
  <si>
    <t>2207 N Dobson Rd</t>
  </si>
  <si>
    <t>Paramount Education Studies Inc</t>
  </si>
  <si>
    <t>Program Director</t>
  </si>
  <si>
    <t>lunch@paramountacademy.com</t>
  </si>
  <si>
    <t>11039 W Olive Ave</t>
  </si>
  <si>
    <t>Paramount Academy</t>
  </si>
  <si>
    <t>Business Office Manager</t>
  </si>
  <si>
    <t>11039 W. Olive Avenue</t>
  </si>
  <si>
    <t>Milestones Charter School</t>
  </si>
  <si>
    <t>Lane</t>
  </si>
  <si>
    <t>llane.milestonescharter@gmail.com</t>
  </si>
  <si>
    <t>4707 E Robert E Lee</t>
  </si>
  <si>
    <t>AAEC - SMCC Campus</t>
  </si>
  <si>
    <t>Virginia</t>
  </si>
  <si>
    <t>vtorres@aaechighschools.com</t>
  </si>
  <si>
    <t>2002 E. Baseline Rd.</t>
  </si>
  <si>
    <t>7050 S. 24th St.</t>
  </si>
  <si>
    <t>SABIS International</t>
  </si>
  <si>
    <t>Johnstonbaugh</t>
  </si>
  <si>
    <t>kjohnstonbaugh@sabis.net</t>
  </si>
  <si>
    <t>1903 E. Roeser Road</t>
  </si>
  <si>
    <t>City View High School</t>
  </si>
  <si>
    <t>Virgil</t>
  </si>
  <si>
    <t>denisev@acyraz.org</t>
  </si>
  <si>
    <t>649 N. 6th Ave.</t>
  </si>
  <si>
    <t>Herdliska</t>
  </si>
  <si>
    <t>fran.milestones@gmail.com</t>
  </si>
  <si>
    <t>4707 E. Robert E. Lee</t>
  </si>
  <si>
    <t>Career Success High School - Main Campus</t>
  </si>
  <si>
    <t>Don</t>
  </si>
  <si>
    <t>Birch</t>
  </si>
  <si>
    <t>dbirch@csschools.com</t>
  </si>
  <si>
    <t>3816 N. 27th Ave,</t>
  </si>
  <si>
    <t>Career Success School - Sage Campus</t>
  </si>
  <si>
    <t>Kurt</t>
  </si>
  <si>
    <t>Waller</t>
  </si>
  <si>
    <t>kwaller@csschools.com</t>
  </si>
  <si>
    <t>3120 N. 32nd St.</t>
  </si>
  <si>
    <t>Career Success High School - Glendale</t>
  </si>
  <si>
    <t>Kystal</t>
  </si>
  <si>
    <t>Leonard</t>
  </si>
  <si>
    <t>kleonard@csschools.com</t>
  </si>
  <si>
    <t>2550 E Jefferson</t>
  </si>
  <si>
    <t>STEP UP SCHOOL</t>
  </si>
  <si>
    <t>Fernichio</t>
  </si>
  <si>
    <t>diane.fernichio@stepupschoolsmesa.org</t>
  </si>
  <si>
    <t>44 E. 5th St.</t>
  </si>
  <si>
    <t>Pleasantview Christian Elementary</t>
  </si>
  <si>
    <t>Tiffany</t>
  </si>
  <si>
    <t>Harris</t>
  </si>
  <si>
    <t>tiffanypvbc@gmail.com</t>
  </si>
  <si>
    <t>4922 S 15th Ave.</t>
  </si>
  <si>
    <t>Western School of Science and Technology</t>
  </si>
  <si>
    <t>Victor</t>
  </si>
  <si>
    <t>Mercado</t>
  </si>
  <si>
    <t>Operations Coodinator/Registar</t>
  </si>
  <si>
    <t>vmercado@wsst.school</t>
  </si>
  <si>
    <t>6515 W. Indian School Rd.</t>
  </si>
  <si>
    <t>NOVA Individualized Learning Center</t>
  </si>
  <si>
    <t>Vargas</t>
  </si>
  <si>
    <t>Trish.vargas@novalearningcenter.com</t>
  </si>
  <si>
    <t>2627 E Thomas Rd.</t>
  </si>
  <si>
    <t>Excalibur Charter Schools, Inc.</t>
  </si>
  <si>
    <t>tyoung@excaliburschools.org</t>
  </si>
  <si>
    <t>1045 S San Marcos Dr.</t>
  </si>
  <si>
    <t>Avalon Elementary</t>
  </si>
  <si>
    <t>NSLP Director</t>
  </si>
  <si>
    <t>1045 S. San Marcos Dr.</t>
  </si>
  <si>
    <t>Apache Jucntion</t>
  </si>
  <si>
    <t>Telesis Center for Learning, Inc.</t>
  </si>
  <si>
    <t>Avalos</t>
  </si>
  <si>
    <t>lavalos@telesis-academy.org</t>
  </si>
  <si>
    <t>2598 Starlite ln.</t>
  </si>
  <si>
    <t>Telesis Preparatory Academy</t>
  </si>
  <si>
    <t>2598 Starlite Ln.</t>
  </si>
  <si>
    <t>2598  Starlite Ln.</t>
  </si>
  <si>
    <t>Telesis Preparatory</t>
  </si>
  <si>
    <t>2598  Starline ln.</t>
  </si>
  <si>
    <t>Benson Unified School District</t>
  </si>
  <si>
    <t>Ayres</t>
  </si>
  <si>
    <t>Director of Business/HR</t>
  </si>
  <si>
    <t>cayres@bensonsd.k12.az.us</t>
  </si>
  <si>
    <t>360 S. Patagonia</t>
  </si>
  <si>
    <t>Benson Primary School</t>
  </si>
  <si>
    <t>scohen@bensonsd.k12.az.us</t>
  </si>
  <si>
    <t>360 S Patagonia</t>
  </si>
  <si>
    <t>Benson Middle School</t>
  </si>
  <si>
    <t>Benson High School</t>
  </si>
  <si>
    <t>San Pedro Valley High School</t>
  </si>
  <si>
    <t>Kaizen Education Foundation dba South Pointe Elementary School</t>
  </si>
  <si>
    <t>elizabeth.herrera@leonagroup.com</t>
  </si>
  <si>
    <t>2033 E Southern Ave</t>
  </si>
  <si>
    <t>Canyon State Academy</t>
  </si>
  <si>
    <t>Bowser</t>
  </si>
  <si>
    <t>Head Chef</t>
  </si>
  <si>
    <t>robert.bowser@rop.com</t>
  </si>
  <si>
    <t>20061 E. Rittenhouse Rd</t>
  </si>
  <si>
    <t>Queens Creek</t>
  </si>
  <si>
    <t>20061 E. Rittenhouse Road</t>
  </si>
  <si>
    <t>Sycamore Canyon Ctr for Youth</t>
  </si>
  <si>
    <t>Robert.bowser@rop.com</t>
  </si>
  <si>
    <t>Sycamore Canyon Academy</t>
  </si>
  <si>
    <t>36895 Mt. Lemon Road</t>
  </si>
  <si>
    <t>Prestige School at Rite of Passage</t>
  </si>
  <si>
    <t>20061 E. Rittenhouse</t>
  </si>
  <si>
    <t>Aprender Tucson</t>
  </si>
  <si>
    <t>Costa</t>
  </si>
  <si>
    <t>mcosta@scstucson.org</t>
  </si>
  <si>
    <t>2701 S Campbell Ave</t>
  </si>
  <si>
    <t>Southside Community School</t>
  </si>
  <si>
    <t>Acorn Montessori Charter School</t>
  </si>
  <si>
    <t>Keith</t>
  </si>
  <si>
    <t>acornkeith@acornmontessori.com</t>
  </si>
  <si>
    <t>8556 E Loos Dr.</t>
  </si>
  <si>
    <t>8556 E Loos Dr</t>
  </si>
  <si>
    <t>Acorn Montessori Charter School, Inc. - West</t>
  </si>
  <si>
    <t>Kendal</t>
  </si>
  <si>
    <t>Healey</t>
  </si>
  <si>
    <t>assistant director</t>
  </si>
  <si>
    <t>acornkendal@cableone.net</t>
  </si>
  <si>
    <t>7555 E Long Look Dr.</t>
  </si>
  <si>
    <t>Success School</t>
  </si>
  <si>
    <t>Student Services Coordinator</t>
  </si>
  <si>
    <t>gramos@azcharter.com</t>
  </si>
  <si>
    <t>PO Box 1929</t>
  </si>
  <si>
    <t>16011 N. Dysart Rd.</t>
  </si>
  <si>
    <t>Arizona Charter Academy</t>
  </si>
  <si>
    <t>Coconino County Juvenile Detention</t>
  </si>
  <si>
    <t>Jeremy</t>
  </si>
  <si>
    <t>Detention Manager</t>
  </si>
  <si>
    <t>JRussell@courts.az.gov</t>
  </si>
  <si>
    <t>1001 E. Sawmill Road</t>
  </si>
  <si>
    <t>AOC-Coconino County Juvenile Detention Center</t>
  </si>
  <si>
    <t>Alise</t>
  </si>
  <si>
    <t>Eckel</t>
  </si>
  <si>
    <t>AEckel@courts.az.gov</t>
  </si>
  <si>
    <t>West Gilbert Charter Elementary School, Inc.</t>
  </si>
  <si>
    <t>Eileen Grove</t>
  </si>
  <si>
    <t>English</t>
  </si>
  <si>
    <t>2061 S Gilbert Rd.</t>
  </si>
  <si>
    <t>Imagine West Gilbert Elementary</t>
  </si>
  <si>
    <t>Weeks</t>
  </si>
  <si>
    <t>christina.weeks@imagineschools.org</t>
  </si>
  <si>
    <t>2061 S Gilbert Rd</t>
  </si>
  <si>
    <t>Mohave Accelerated Learning Center</t>
  </si>
  <si>
    <t>Gaul</t>
  </si>
  <si>
    <t>mgaul@mohavelearning.org</t>
  </si>
  <si>
    <t>625 Marina Blvd.</t>
  </si>
  <si>
    <t>Mohave Accelerated Elementary School</t>
  </si>
  <si>
    <t>Mohave Accelerated Elementary School East</t>
  </si>
  <si>
    <t>945 Thumb Butte Drive</t>
  </si>
  <si>
    <t>Griffin Foundation, Inc. The</t>
  </si>
  <si>
    <t>Spoon</t>
  </si>
  <si>
    <t>kspoon@griffiinfoundation.org</t>
  </si>
  <si>
    <t>1844 S Alvernon Way</t>
  </si>
  <si>
    <t>Children Reaching for the Sky Preparatory</t>
  </si>
  <si>
    <t>kspoon@griffinfoundation.org</t>
  </si>
  <si>
    <t>Future Investment Middle School</t>
  </si>
  <si>
    <t>1854 S Alvernon Way</t>
  </si>
  <si>
    <t>Harvest Power Community Development Group, Inc.</t>
  </si>
  <si>
    <t>Holt</t>
  </si>
  <si>
    <t>nholt@harvestprep.com</t>
  </si>
  <si>
    <t>350 E 18th Street</t>
  </si>
  <si>
    <t>Harvest Preparatory Academy</t>
  </si>
  <si>
    <t>Finance Directory</t>
  </si>
  <si>
    <t>Harvest Preparatory Academy, San Luis AZ</t>
  </si>
  <si>
    <t>1044 N 10th Avenue</t>
  </si>
  <si>
    <t>Harvest Preparatory Academy, Goodyear</t>
  </si>
  <si>
    <t>350 E. 18th St.</t>
  </si>
  <si>
    <t>14900 W. Van Buren St. Bldg. E</t>
  </si>
  <si>
    <t>Omega Alpha Academy</t>
  </si>
  <si>
    <t>Frisby</t>
  </si>
  <si>
    <t>vfrisby@oaak12.org</t>
  </si>
  <si>
    <t>1402 San Antonio Ave</t>
  </si>
  <si>
    <t>Omega Alpha Academy School</t>
  </si>
  <si>
    <t>Yavapai County Juvenile Justice Center</t>
  </si>
  <si>
    <t>Boelts</t>
  </si>
  <si>
    <t>Juvenile Dtention Supervisor</t>
  </si>
  <si>
    <t>tboelts@courts.az.gov</t>
  </si>
  <si>
    <t>1100 Prescott Lakes Parkway</t>
  </si>
  <si>
    <t>Prescott Lakes Parkway School</t>
  </si>
  <si>
    <t>Hyde</t>
  </si>
  <si>
    <t>dhyde@courts.az.gov</t>
  </si>
  <si>
    <t>Pinal County Juvenile Detention</t>
  </si>
  <si>
    <t>Celena</t>
  </si>
  <si>
    <t>Angstead</t>
  </si>
  <si>
    <t>Probation Division Manager</t>
  </si>
  <si>
    <t>CAngstea@courts.az.gov</t>
  </si>
  <si>
    <t>1410 E. Diversion Dam Rd.</t>
  </si>
  <si>
    <t>Hope School</t>
  </si>
  <si>
    <t>Blanca</t>
  </si>
  <si>
    <t>Molina</t>
  </si>
  <si>
    <t>Juvenile Detention Supervisor</t>
  </si>
  <si>
    <t>bmolina@courts.az.gov</t>
  </si>
  <si>
    <t>PO Box 1009</t>
  </si>
  <si>
    <t>Premier Charter High School</t>
  </si>
  <si>
    <t>Delgado</t>
  </si>
  <si>
    <t>adelgado@premierhighschool.com</t>
  </si>
  <si>
    <t>7544 W. Indian School Rd.</t>
  </si>
  <si>
    <t>7544 W. Indian School Road</t>
  </si>
  <si>
    <t>Pan-American Elementary Charter</t>
  </si>
  <si>
    <t>Todd</t>
  </si>
  <si>
    <t>Wade</t>
  </si>
  <si>
    <t>todd.wade@panamericancharter.org</t>
  </si>
  <si>
    <t>3001 W. Indian School</t>
  </si>
  <si>
    <t>Suite #150</t>
  </si>
  <si>
    <t>2020 W. Indian School</t>
  </si>
  <si>
    <t>Pan-American Charter School</t>
  </si>
  <si>
    <t>Esther</t>
  </si>
  <si>
    <t>Galvis</t>
  </si>
  <si>
    <t>stephkelsey06@yahoo.com</t>
  </si>
  <si>
    <t>3001 W. Indian School Rd.</t>
  </si>
  <si>
    <t>Ste#150</t>
  </si>
  <si>
    <t>Mohave County Juvenile Detention</t>
  </si>
  <si>
    <t>Amber</t>
  </si>
  <si>
    <t>Freed</t>
  </si>
  <si>
    <t>Juvenile Detention Administrator</t>
  </si>
  <si>
    <t>afreed@courts.az.gov</t>
  </si>
  <si>
    <t>P.O. Box 7000</t>
  </si>
  <si>
    <t>300 West Andy Devine</t>
  </si>
  <si>
    <t>The Gloria Dusek Compass School</t>
  </si>
  <si>
    <t>Wolford</t>
  </si>
  <si>
    <t>Juvenile Detention Officer, Supervisor</t>
  </si>
  <si>
    <t>cwolford@courts.az.gov</t>
  </si>
  <si>
    <t>PO Box 7000</t>
  </si>
  <si>
    <t>Kingman Unified School District</t>
  </si>
  <si>
    <t>Ahron</t>
  </si>
  <si>
    <t>asherman@kusd.org</t>
  </si>
  <si>
    <t>3033 McDonald</t>
  </si>
  <si>
    <t>3174 Rutherford</t>
  </si>
  <si>
    <t>Hualapai Elementary</t>
  </si>
  <si>
    <t>Tonya</t>
  </si>
  <si>
    <t>Food Service Administrative Coordinator</t>
  </si>
  <si>
    <t>tgreen@kusd.org</t>
  </si>
  <si>
    <t>3033 MacDonald</t>
  </si>
  <si>
    <t>350 Eastern Avenue</t>
  </si>
  <si>
    <t>La Senita Elementary</t>
  </si>
  <si>
    <t>3175 Gordon Drive</t>
  </si>
  <si>
    <t>Manzanita Elementary</t>
  </si>
  <si>
    <t>2601 Detroit Avenue</t>
  </si>
  <si>
    <t>Kingman Middle School</t>
  </si>
  <si>
    <t>1969 Detroit Avenue</t>
  </si>
  <si>
    <t>Cerbat Elementary</t>
  </si>
  <si>
    <t>3033 MacDonald Ave.</t>
  </si>
  <si>
    <t>2689 Jagerson Avenue</t>
  </si>
  <si>
    <t>3404 N. Santa Maria Road</t>
  </si>
  <si>
    <t>Golden Valley</t>
  </si>
  <si>
    <t>Mt Tipton Elementary School</t>
  </si>
  <si>
    <t>16500 Pierce Ferry Road</t>
  </si>
  <si>
    <t>Dolan Springs</t>
  </si>
  <si>
    <t>Kingman High School</t>
  </si>
  <si>
    <t>4182 N. Bank Street</t>
  </si>
  <si>
    <t>White Cliffs Middle School</t>
  </si>
  <si>
    <t>3550 Prospector St.</t>
  </si>
  <si>
    <t>3700 Prospector Ave.</t>
  </si>
  <si>
    <t>Lee Williams High School</t>
  </si>
  <si>
    <t>Tony</t>
  </si>
  <si>
    <t>400 Grandview Ave.</t>
  </si>
  <si>
    <t>Queen of Peace</t>
  </si>
  <si>
    <t>Clara</t>
  </si>
  <si>
    <t>Parra</t>
  </si>
  <si>
    <t>Front Office Manager</t>
  </si>
  <si>
    <t>cparra@qop.org</t>
  </si>
  <si>
    <t>141 N. Macdonald Street</t>
  </si>
  <si>
    <t>Queen of Peace School</t>
  </si>
  <si>
    <t>Greyhills Academy</t>
  </si>
  <si>
    <t>Rooney</t>
  </si>
  <si>
    <t>rooney.black@bie.edu</t>
  </si>
  <si>
    <t>P.O. Box 160</t>
  </si>
  <si>
    <t>One Warrior Drive</t>
  </si>
  <si>
    <t>160 Warrior Drive</t>
  </si>
  <si>
    <t>Greyhills Academy High School</t>
  </si>
  <si>
    <t>Arizona Cultural Academy</t>
  </si>
  <si>
    <t>Helen</t>
  </si>
  <si>
    <t>Yan</t>
  </si>
  <si>
    <t>hwyanxu@gmail.com</t>
  </si>
  <si>
    <t>7810 S 42nd Place</t>
  </si>
  <si>
    <t>PEAK School Inc., The</t>
  </si>
  <si>
    <t>Katelynn</t>
  </si>
  <si>
    <t>ksanchez@peakschool.org</t>
  </si>
  <si>
    <t>2016 N 1st St</t>
  </si>
  <si>
    <t>The Peak School</t>
  </si>
  <si>
    <t>2016 N 1st Street</t>
  </si>
  <si>
    <t>Kaizen Education Foundation dba Vista Grove Preparatory Academy Middle School</t>
  </si>
  <si>
    <t>Vista Grove Preparatory Academy Middle School</t>
  </si>
  <si>
    <t>Emma</t>
  </si>
  <si>
    <t>Cabral</t>
  </si>
  <si>
    <t>emma.cabral@leonagroup.com</t>
  </si>
  <si>
    <t>2929 E McKellips Rd</t>
  </si>
  <si>
    <t>American Charter Schools Foundation d.b.a. Desert Hills High School</t>
  </si>
  <si>
    <t>7878 N. 16th St. #150</t>
  </si>
  <si>
    <t>Desert Hills High School</t>
  </si>
  <si>
    <t>Zapata</t>
  </si>
  <si>
    <t>School Meals Coordinator</t>
  </si>
  <si>
    <t>andrea.zapata@leonagroup.com</t>
  </si>
  <si>
    <t>1515 S Val Vista Dr.</t>
  </si>
  <si>
    <t>American Charter Schools Foundation d.b.a. Estrella High School</t>
  </si>
  <si>
    <t>7500 N Dreamy Draw Drive Suite 200</t>
  </si>
  <si>
    <t>510 N. Central Ave</t>
  </si>
  <si>
    <t>Estrella High School</t>
  </si>
  <si>
    <t>angela.garcia@leonagroup.com</t>
  </si>
  <si>
    <t>510 N Central Ave</t>
  </si>
  <si>
    <t>American Charter Schools Foundation d.b.a. Crestview College Preparatory High Sc</t>
  </si>
  <si>
    <t>Crestview College Preparatory High School</t>
  </si>
  <si>
    <t>Bierling</t>
  </si>
  <si>
    <t>christina.bierling@leonagroup.com</t>
  </si>
  <si>
    <t>2616 E Greenway Rd.</t>
  </si>
  <si>
    <t>American Charter Schools Foundation d.b.a. Peoria Accelerated High School</t>
  </si>
  <si>
    <t>7500 Dreamy Draw Dr, Suite 200</t>
  </si>
  <si>
    <t>Peoria Accelerated High School</t>
  </si>
  <si>
    <t>lorena.rodriguez@leonagroup.com</t>
  </si>
  <si>
    <t>8885 W Peoria Ave</t>
  </si>
  <si>
    <t>Kaizen Education Foundation dba Summit High School</t>
  </si>
  <si>
    <t>Erika.Miranda@Leonagroup.com</t>
  </si>
  <si>
    <t>728 E McDowell Rd</t>
  </si>
  <si>
    <t>American Charter Schools Foundation d.b.a. Sun Valley High School</t>
  </si>
  <si>
    <t>7878 N. 16th St. # 150</t>
  </si>
  <si>
    <t>Sun Valley High School</t>
  </si>
  <si>
    <t>DeeLynn</t>
  </si>
  <si>
    <t>Southwick</t>
  </si>
  <si>
    <t>deelynn.southwick@leonagroup.com</t>
  </si>
  <si>
    <t>1143 S Lindsay Rd.</t>
  </si>
  <si>
    <t>Kaizen Education Foundation dba Tempe Accelerated High School</t>
  </si>
  <si>
    <t>Kaizen Education Foundation dba Quest High School</t>
  </si>
  <si>
    <t>Cinthia</t>
  </si>
  <si>
    <t>Borja</t>
  </si>
  <si>
    <t>cinthia.borja@leonagroup.com</t>
  </si>
  <si>
    <t>217 E. Olympic Dr.</t>
  </si>
  <si>
    <t>American Charter Schools Foundation d.b.a. West Phoenix High School</t>
  </si>
  <si>
    <t>West Phoenix High School</t>
  </si>
  <si>
    <t>Rojo</t>
  </si>
  <si>
    <t>veronica.rojo@leonagroup.com</t>
  </si>
  <si>
    <t>3835 W Thomas Rd.</t>
  </si>
  <si>
    <t>Kaizen Education Foundation dba Skyview High School</t>
  </si>
  <si>
    <t>Skyview High School</t>
  </si>
  <si>
    <t>Jade</t>
  </si>
  <si>
    <t>Lagrou</t>
  </si>
  <si>
    <t>jade.lagrou@leonagroup.com</t>
  </si>
  <si>
    <t>4290 S. Miller Rd</t>
  </si>
  <si>
    <t>Nosotros, Inc</t>
  </si>
  <si>
    <t>Rickey</t>
  </si>
  <si>
    <t>Salas</t>
  </si>
  <si>
    <t>info@nosotrosacademy.org</t>
  </si>
  <si>
    <t>440 N. Grande Ave</t>
  </si>
  <si>
    <t>Nosotros Academy</t>
  </si>
  <si>
    <t>Food Service Cordinator</t>
  </si>
  <si>
    <t>Info@nosotrosacademy.org</t>
  </si>
  <si>
    <t>440 N. Grande Ave.</t>
  </si>
  <si>
    <t>Kaizen Education Foundation dba Maya High School</t>
  </si>
  <si>
    <t>yesenia.torres@leonagroup.com</t>
  </si>
  <si>
    <t>3660 W Glendale Ave.</t>
  </si>
  <si>
    <t>American Charter Schools Foundation d.b.a. Apache Trail High School</t>
  </si>
  <si>
    <t>Apache Trail High School</t>
  </si>
  <si>
    <t>Juana</t>
  </si>
  <si>
    <t>Romo</t>
  </si>
  <si>
    <t>juana.romo@leonagroup.com</t>
  </si>
  <si>
    <t>7878 N. 16th St., Suite 150</t>
  </si>
  <si>
    <t>945 W Apache Trail</t>
  </si>
  <si>
    <t>Camelback Education, Inc</t>
  </si>
  <si>
    <t>sbanbury@cbak8.com</t>
  </si>
  <si>
    <t>7634 W. Camelback Rd</t>
  </si>
  <si>
    <t>Camelback Academy</t>
  </si>
  <si>
    <t>SBanbury@cbak8.com</t>
  </si>
  <si>
    <t>7634 W. Camelback Rd.</t>
  </si>
  <si>
    <t>Lifelong Learning Research Institute, Inc.</t>
  </si>
  <si>
    <t>Klem</t>
  </si>
  <si>
    <t>rklem@lifelonglearningacademy.com</t>
  </si>
  <si>
    <t>P.O. Box 36045</t>
  </si>
  <si>
    <t>3295 W. Orange Grove Road</t>
  </si>
  <si>
    <t>Lifelong Learning Academy</t>
  </si>
  <si>
    <t>Administration</t>
  </si>
  <si>
    <t>3295 W. Orange Grove Rd.</t>
  </si>
  <si>
    <t>Jack Thoman Air and Space Academy and Performing Arts Studio</t>
  </si>
  <si>
    <t>PO Box 36045</t>
  </si>
  <si>
    <t>730 W. Calle Arroyo Sur.</t>
  </si>
  <si>
    <t>Saharita</t>
  </si>
  <si>
    <t>Arizona Community Development Corporation</t>
  </si>
  <si>
    <t>Rubasch</t>
  </si>
  <si>
    <t>Business Mananger</t>
  </si>
  <si>
    <t>wrubasch@arizonacharterschools.org</t>
  </si>
  <si>
    <t>5704 E. Grant Rd</t>
  </si>
  <si>
    <t>8140 E. Golf Links Road</t>
  </si>
  <si>
    <t>La Paloma Academy</t>
  </si>
  <si>
    <t>btbrown426@comcast.net</t>
  </si>
  <si>
    <t>2050 N Wilmot</t>
  </si>
  <si>
    <t>La Paloma Academy (Lakeside)</t>
  </si>
  <si>
    <t>btbrown426@comast.net</t>
  </si>
  <si>
    <t>5704 E Grant Rd</t>
  </si>
  <si>
    <t>8140 E Golf Links</t>
  </si>
  <si>
    <t>La Paloma Academy-South</t>
  </si>
  <si>
    <t>5660 S. 12th Ave</t>
  </si>
  <si>
    <t>Pima Prevention Partnership dba Pima Partnership School, The</t>
  </si>
  <si>
    <t>Mather</t>
  </si>
  <si>
    <t>Community Liaison</t>
  </si>
  <si>
    <t>amather@thepartnership.us</t>
  </si>
  <si>
    <t>924 N. Alvernon Way</t>
  </si>
  <si>
    <t>Suite 150</t>
  </si>
  <si>
    <t>Pima Partnership School, The</t>
  </si>
  <si>
    <t>25 E. Drachman</t>
  </si>
  <si>
    <t>Pima Prevention Partnership-Tucson</t>
  </si>
  <si>
    <t>924 N Alvernon Way</t>
  </si>
  <si>
    <t>Academy of Mathematics and Science, Inc.</t>
  </si>
  <si>
    <t>Francis</t>
  </si>
  <si>
    <t>Grants Manager</t>
  </si>
  <si>
    <t>dfrancis@amsschools.org</t>
  </si>
  <si>
    <t>1557 W. Prince Rd.</t>
  </si>
  <si>
    <t>Academy of Math and Science</t>
  </si>
  <si>
    <t>Lomeland</t>
  </si>
  <si>
    <t>slomeland@amstucson.org</t>
  </si>
  <si>
    <t>1557 W. Prince Rd</t>
  </si>
  <si>
    <t>LEAD Charter Schools</t>
  </si>
  <si>
    <t>Emily</t>
  </si>
  <si>
    <t>Homans</t>
  </si>
  <si>
    <t>Meal Services Coordinator</t>
  </si>
  <si>
    <t>ehomans@leadingedgeacademy.com</t>
  </si>
  <si>
    <t>633 E. Ray Road</t>
  </si>
  <si>
    <t>Ste. 132</t>
  </si>
  <si>
    <t>Leading Edge Academy Gilbert Elementary</t>
  </si>
  <si>
    <t>Strasser</t>
  </si>
  <si>
    <t>gstrasser@leadingedgeacademy.com</t>
  </si>
  <si>
    <t>633 E Ray Road</t>
  </si>
  <si>
    <t>717 W. Ray Rd.</t>
  </si>
  <si>
    <t>Leading Edge Academy Gilbert Early College</t>
  </si>
  <si>
    <t>Brittany</t>
  </si>
  <si>
    <t>Morrison-Vega</t>
  </si>
  <si>
    <t>bmorrison-vega@leadingedgeacademy.com</t>
  </si>
  <si>
    <t>Leading Edge Academy at East Mesa</t>
  </si>
  <si>
    <t>DauWalter</t>
  </si>
  <si>
    <t>ldauwalter@leadingedgeacademy.com</t>
  </si>
  <si>
    <t>10115  E. University Dr.</t>
  </si>
  <si>
    <t>All Aboard Charter School</t>
  </si>
  <si>
    <t>sgarcia@allaboardcharter.com</t>
  </si>
  <si>
    <t>5827 N. 35th Ave</t>
  </si>
  <si>
    <t>5827 N 35th Ave</t>
  </si>
  <si>
    <t>CAFA, Inc. dba Learning Foundation Performing Arts School</t>
  </si>
  <si>
    <t>Symantha</t>
  </si>
  <si>
    <t>School NSLP</t>
  </si>
  <si>
    <t>Smendoza@lfapa.org</t>
  </si>
  <si>
    <t>4055 East Warner Road</t>
  </si>
  <si>
    <t>851 N. Stapley Drive</t>
  </si>
  <si>
    <t>Learning Foundation</t>
  </si>
  <si>
    <t>Site Lunch Program Director</t>
  </si>
  <si>
    <t>SMendoza@lfapa.org</t>
  </si>
  <si>
    <t>851 North Stapley Drive Bld. #6</t>
  </si>
  <si>
    <t>Tucson International Academy, Inc.</t>
  </si>
  <si>
    <t>ameza@tucsoninternationalacademy.com</t>
  </si>
  <si>
    <t>2700 W Broadway Blvd.</t>
  </si>
  <si>
    <t>Tucson International Academy</t>
  </si>
  <si>
    <t>2700 W. Broadway Blvd.</t>
  </si>
  <si>
    <t>1230 E Broadway Blvd</t>
  </si>
  <si>
    <t>Tucson International Academy Midvale</t>
  </si>
  <si>
    <t>ameza@tucsoninternationacademy.com</t>
  </si>
  <si>
    <t>1625 W. Valencia #109</t>
  </si>
  <si>
    <t>TIA East</t>
  </si>
  <si>
    <t>450 N Pantano rd.</t>
  </si>
  <si>
    <t>TIA West</t>
  </si>
  <si>
    <t>2700 W. Broadway Blvd</t>
  </si>
  <si>
    <t>Bell Canyon Charter School, Inc</t>
  </si>
  <si>
    <t>18052 N Black Canyon Hwy.</t>
  </si>
  <si>
    <t>Imagine Bell Canyon</t>
  </si>
  <si>
    <t>Demi</t>
  </si>
  <si>
    <t>demi.santos@imagineschools.org</t>
  </si>
  <si>
    <t>18052 N. Black Canyon Highway</t>
  </si>
  <si>
    <t>Cortez Park Charter Middle School, Inc.</t>
  </si>
  <si>
    <t>3535 W Dunlap Ave</t>
  </si>
  <si>
    <t>Imagine Cortez Park Middle</t>
  </si>
  <si>
    <t>West Gilbert Charter Middle School, Inc.</t>
  </si>
  <si>
    <t>Imagine West Gilbert Middle</t>
  </si>
  <si>
    <t>2061 S. Gilbert Rd.</t>
  </si>
  <si>
    <t>Midtown Primary School</t>
  </si>
  <si>
    <t>Food Manager</t>
  </si>
  <si>
    <t>midtownprimaryschool@hotmail.com</t>
  </si>
  <si>
    <t>3823 N. 11th Street</t>
  </si>
  <si>
    <t>4735n N 11th St</t>
  </si>
  <si>
    <t>Pinnacle High School - Tempe</t>
  </si>
  <si>
    <t>Anthony</t>
  </si>
  <si>
    <t>Rife</t>
  </si>
  <si>
    <t>supervisor</t>
  </si>
  <si>
    <t>anthony.rife@mgrmedu.com</t>
  </si>
  <si>
    <t>Midtown Primary Admin Office</t>
  </si>
  <si>
    <t>3823 N 11th St</t>
  </si>
  <si>
    <t>2224 W Southern #1</t>
  </si>
  <si>
    <t>Suggs</t>
  </si>
  <si>
    <t>Vice Principal</t>
  </si>
  <si>
    <t>belindas@midtownprimaryschool.com</t>
  </si>
  <si>
    <t>4735 N. 19th Avenue</t>
  </si>
  <si>
    <t>Pinnacle High School - Casa Grande</t>
  </si>
  <si>
    <t>anthtony.rife@mgrmedu.com</t>
  </si>
  <si>
    <t>3823 N. 11th St</t>
  </si>
  <si>
    <t>2510 N. Trekell Rd</t>
  </si>
  <si>
    <t>Pinnacle Charter High School</t>
  </si>
  <si>
    <t>3823 N11th St</t>
  </si>
  <si>
    <t>810  S Alma School Rd #4</t>
  </si>
  <si>
    <t>2055 N Grand Ave</t>
  </si>
  <si>
    <t>Pinnacle Online High School</t>
  </si>
  <si>
    <t>Midtown Primary  Admin Office</t>
  </si>
  <si>
    <t>2510 N Trekell Rd</t>
  </si>
  <si>
    <t>Pinnacle Online - WMCB</t>
  </si>
  <si>
    <t>1712 E Guadalupe Rd #101</t>
  </si>
  <si>
    <t>CPLC Community Schools dba Toltecalli High School</t>
  </si>
  <si>
    <t>Delcid</t>
  </si>
  <si>
    <t>carmen.delcid@cplc.org</t>
  </si>
  <si>
    <t>251 W. Irvington Road</t>
  </si>
  <si>
    <t>251 W. Irvington</t>
  </si>
  <si>
    <t>Toltecali High School</t>
  </si>
  <si>
    <t>Yizza</t>
  </si>
  <si>
    <t>Mares</t>
  </si>
  <si>
    <t>Site NSLP Coordinator</t>
  </si>
  <si>
    <t>yizza.mares@cplc.org</t>
  </si>
  <si>
    <t>251 W. Irvington Rd.</t>
  </si>
  <si>
    <t>Kayenta Boarding School</t>
  </si>
  <si>
    <t>Evelyn1.Begay@bie.edu</t>
  </si>
  <si>
    <t>P.O. Box 188</t>
  </si>
  <si>
    <t>1000 Main Street</t>
  </si>
  <si>
    <t>Kayenta Community School</t>
  </si>
  <si>
    <t>Evelyn T.</t>
  </si>
  <si>
    <t>Chinle Educational Resource Center</t>
  </si>
  <si>
    <t>Terrill</t>
  </si>
  <si>
    <t>terrys3872@gmail.com</t>
  </si>
  <si>
    <t>Navajo Route #13</t>
  </si>
  <si>
    <t>Lukachukai</t>
  </si>
  <si>
    <t>Lukachukai Community School</t>
  </si>
  <si>
    <t>Supervisior</t>
  </si>
  <si>
    <t>PO BOX 230</t>
  </si>
  <si>
    <t>Tiisyaakin Residential Hall, Inc</t>
  </si>
  <si>
    <t>White-Alcott</t>
  </si>
  <si>
    <t>Executive Director</t>
  </si>
  <si>
    <t>tiisyaakinrh@hotmail.com</t>
  </si>
  <si>
    <t>1100 West Buffalo</t>
  </si>
  <si>
    <t>Tiisyaakin Residential Hall, Inc.</t>
  </si>
  <si>
    <t>TIISYAAKIN RESIDENTIAL HALL</t>
  </si>
  <si>
    <t>1100 WEST BUFFALO ST.</t>
  </si>
  <si>
    <t>HOLBROOK</t>
  </si>
  <si>
    <t>Immaculate Conception School</t>
  </si>
  <si>
    <t>Gustavo</t>
  </si>
  <si>
    <t>Trujillo</t>
  </si>
  <si>
    <t>gtrujillo@diocesetucson.org</t>
  </si>
  <si>
    <t>501 S Ave. B</t>
  </si>
  <si>
    <t>trujillogus5@gmail.com</t>
  </si>
  <si>
    <t>501 S. Ave. B</t>
  </si>
  <si>
    <t>John F. Kennedy Day School</t>
  </si>
  <si>
    <t>Dr. Jeff</t>
  </si>
  <si>
    <t>Williamson</t>
  </si>
  <si>
    <t>jeff.williamson@bie.edu</t>
  </si>
  <si>
    <t>110 East Dish Chin Road</t>
  </si>
  <si>
    <t>Burnette</t>
  </si>
  <si>
    <t>Clerk</t>
  </si>
  <si>
    <t>michelle.burnette@bie.edu</t>
  </si>
  <si>
    <t>Kaibeto Boarding School</t>
  </si>
  <si>
    <t>alison.yazzie@bie.edu</t>
  </si>
  <si>
    <t>P. O. Box 1420</t>
  </si>
  <si>
    <t>Kaibeto</t>
  </si>
  <si>
    <t>East Highway 160/98</t>
  </si>
  <si>
    <t>alison.yazzie@BIE.EDU</t>
  </si>
  <si>
    <t>P.O. Box 1420</t>
  </si>
  <si>
    <t>HWY 160/98</t>
  </si>
  <si>
    <t>East HWY 160/98</t>
  </si>
  <si>
    <t>Navajo Christian Preparatory Academy</t>
  </si>
  <si>
    <t>Harrison</t>
  </si>
  <si>
    <t>angiebgy@yahoo.com</t>
  </si>
  <si>
    <t>Highway  191 at One Mission Lane (UPS)</t>
  </si>
  <si>
    <t>P.O. Box 354</t>
  </si>
  <si>
    <t>Rock Point</t>
  </si>
  <si>
    <t>Kitchen@nelm.org</t>
  </si>
  <si>
    <t>Hwy 191 One mission lane</t>
  </si>
  <si>
    <t>P.o box 354</t>
  </si>
  <si>
    <t>Hwy 191 one mission lane</t>
  </si>
  <si>
    <t>Our Lady of Perpetual Help School</t>
  </si>
  <si>
    <t>abernal@olphglendale.com</t>
  </si>
  <si>
    <t>7521 N 57th Ave.  (School)</t>
  </si>
  <si>
    <t>5614 W Orangewood  (Parish)</t>
  </si>
  <si>
    <t>7521 N. 57th Ave.</t>
  </si>
  <si>
    <t>5614 W. Orangewood  (Parish)</t>
  </si>
  <si>
    <t>Phoenix Educational Resource Center</t>
  </si>
  <si>
    <t>frank.rogers@bie.edu</t>
  </si>
  <si>
    <t>HC01 Box 8292</t>
  </si>
  <si>
    <t>State Route 86, Mile marker 75</t>
  </si>
  <si>
    <t>at San Simon School</t>
  </si>
  <si>
    <t>Marlena</t>
  </si>
  <si>
    <t>Francisco</t>
  </si>
  <si>
    <t>Business Technician</t>
  </si>
  <si>
    <t>Marlena.francisco@bie.edu</t>
  </si>
  <si>
    <t>HC 01 Box 8292</t>
  </si>
  <si>
    <t>Hwy 86 Mile Post 75</t>
  </si>
  <si>
    <t>Tohono O'dham High School</t>
  </si>
  <si>
    <t>Karena</t>
  </si>
  <si>
    <t>karena.luna@bie.edu</t>
  </si>
  <si>
    <t>HCO1 Box 8513</t>
  </si>
  <si>
    <t>State Hwy  86 Mile Marker 75</t>
  </si>
  <si>
    <t>Santa Rosa Boarding School</t>
  </si>
  <si>
    <t>Ahill</t>
  </si>
  <si>
    <t>joanne.ahill@bie.edu</t>
  </si>
  <si>
    <t>HCO1 Box 8400</t>
  </si>
  <si>
    <t>Indian Hwy 15,Mile Marker 14, South of Casa Grand</t>
  </si>
  <si>
    <t>Santa Rosa Ranch School</t>
  </si>
  <si>
    <t>Education Technician</t>
  </si>
  <si>
    <t>Diane.jose@bie.edu</t>
  </si>
  <si>
    <t>HC02 Box 7570</t>
  </si>
  <si>
    <t>48 mi. W of Tucson on Hwy 86</t>
  </si>
  <si>
    <t>8 mi. N of Milepost 131</t>
  </si>
  <si>
    <t>Peridot/Our Saviors Lutheran Elementary School</t>
  </si>
  <si>
    <t>Pagel</t>
  </si>
  <si>
    <t>pagel.benandsteph@gmail.com</t>
  </si>
  <si>
    <t>P.O. Box 118</t>
  </si>
  <si>
    <t>Peridot</t>
  </si>
  <si>
    <t>1 Mile North of Hwy. 70 on Hwy 170</t>
  </si>
  <si>
    <t>Peridot Lutheran Elementary School</t>
  </si>
  <si>
    <t>Novella</t>
  </si>
  <si>
    <t>Cobb</t>
  </si>
  <si>
    <t>novellacobb@yahoo.com</t>
  </si>
  <si>
    <t>P.O.Box 118</t>
  </si>
  <si>
    <t>1 Mi N. of Hwy. 70 on Hwy 170</t>
  </si>
  <si>
    <t>Pima County Doc Work Center</t>
  </si>
  <si>
    <t>Frieda</t>
  </si>
  <si>
    <t>Stafford</t>
  </si>
  <si>
    <t>frieda.stafford@sheriff.pima.gov</t>
  </si>
  <si>
    <t>1750 E Benson Highway</t>
  </si>
  <si>
    <t>1270 W. Silverlake Rd.</t>
  </si>
  <si>
    <t>Pima County Jail</t>
  </si>
  <si>
    <t>Pima County Juvenile Court Center</t>
  </si>
  <si>
    <t>Biggs</t>
  </si>
  <si>
    <t>Support Services Manager</t>
  </si>
  <si>
    <t>Sandra.Biggs@pcjcc.pima.gov</t>
  </si>
  <si>
    <t>2225 E. Ajo Way</t>
  </si>
  <si>
    <t>Pima County Juvenile Court</t>
  </si>
  <si>
    <t>Johanna</t>
  </si>
  <si>
    <t>Bliss</t>
  </si>
  <si>
    <t>Deputy Finance Director</t>
  </si>
  <si>
    <t>Johanna.Bliss@pcjcc.pima.gov</t>
  </si>
  <si>
    <t>Pine Springs Day School</t>
  </si>
  <si>
    <t>Tsosie</t>
  </si>
  <si>
    <t>norma.tsosie@bie.edu</t>
  </si>
  <si>
    <t>Bureau of Indian Affairs</t>
  </si>
  <si>
    <t>Pine Springs Day School, P.O. Box 4198</t>
  </si>
  <si>
    <t>Houck</t>
  </si>
  <si>
    <t>1001 PINE SPRINGS ROAD</t>
  </si>
  <si>
    <t>HOUCK</t>
  </si>
  <si>
    <t>Lou Ann M.</t>
  </si>
  <si>
    <t>lou.jones@bie.edu</t>
  </si>
  <si>
    <t>P.O. Box 4198</t>
  </si>
  <si>
    <t>Houck,</t>
  </si>
  <si>
    <t>1001 Pine Springs Road</t>
  </si>
  <si>
    <t>Rock Point Community School</t>
  </si>
  <si>
    <t>Alvina</t>
  </si>
  <si>
    <t>Tom</t>
  </si>
  <si>
    <t>Acting Food Service Manager</t>
  </si>
  <si>
    <t>alvina.tom@rpcsaz.org</t>
  </si>
  <si>
    <t>PO</t>
  </si>
  <si>
    <t>Highway 191</t>
  </si>
  <si>
    <t>PO Box 560</t>
  </si>
  <si>
    <t>San Xavier Mission School</t>
  </si>
  <si>
    <t>Katrina</t>
  </si>
  <si>
    <t>Powell</t>
  </si>
  <si>
    <t>principal@sxmschool.org</t>
  </si>
  <si>
    <t>1980 W. San Xavier Rd.</t>
  </si>
  <si>
    <t>Wood</t>
  </si>
  <si>
    <t>office@sxmschool.org</t>
  </si>
  <si>
    <t>1980 West San Xavier Road</t>
  </si>
  <si>
    <t>Santa Cruz Catholic School</t>
  </si>
  <si>
    <t>Yanira</t>
  </si>
  <si>
    <t>Noriega</t>
  </si>
  <si>
    <t>ynoriega@santacruzschool.org</t>
  </si>
  <si>
    <t>29 West 22nd Street</t>
  </si>
  <si>
    <t>29 W. 22nd Street</t>
  </si>
  <si>
    <t>Seba Dalkai Boarding School</t>
  </si>
  <si>
    <t>Orlinda</t>
  </si>
  <si>
    <t>Cly</t>
  </si>
  <si>
    <t>Orlinda.cly@bie.edu</t>
  </si>
  <si>
    <t>HC 63, Box H</t>
  </si>
  <si>
    <t>45 miles North of Winslow State Hiway 87</t>
  </si>
  <si>
    <t>.5 miles west of State Hiway 87</t>
  </si>
  <si>
    <t>Seba Dalkai School</t>
  </si>
  <si>
    <t>orlinda.cly@bie.edu</t>
  </si>
  <si>
    <t>HC 63 BOX H</t>
  </si>
  <si>
    <t>WINSLOW</t>
  </si>
  <si>
    <t>.5 miles West of State Hiway 87</t>
  </si>
  <si>
    <t>SS. Peter &amp; Paul School</t>
  </si>
  <si>
    <t>Suida</t>
  </si>
  <si>
    <t>Milk Specialist</t>
  </si>
  <si>
    <t>lsuida@sspptucson.org</t>
  </si>
  <si>
    <t>1436 N. Campbell Avenue</t>
  </si>
  <si>
    <t>Mrs.</t>
  </si>
  <si>
    <t>St. Anthony of Padua Catholic School</t>
  </si>
  <si>
    <t>Peck</t>
  </si>
  <si>
    <t>officemanager@stanthonycgschool.org</t>
  </si>
  <si>
    <t>501 E. 2nd Street</t>
  </si>
  <si>
    <t>Enrollment/Office Manager</t>
  </si>
  <si>
    <t>St. Catherine of Siena Catholic School</t>
  </si>
  <si>
    <t>Mary Michelle</t>
  </si>
  <si>
    <t>mhernandez@thesclions.org</t>
  </si>
  <si>
    <t>6413 S. Central Ave</t>
  </si>
  <si>
    <t>St. Catherine's School</t>
  </si>
  <si>
    <t>Briana</t>
  </si>
  <si>
    <t>Administrator Assistant</t>
  </si>
  <si>
    <t>bsanchez@thesclions.org</t>
  </si>
  <si>
    <t>6413 S. Central Ave.</t>
  </si>
  <si>
    <t>St. John the Evangelist</t>
  </si>
  <si>
    <t>Enis</t>
  </si>
  <si>
    <t>aenis@stjohntucson.org</t>
  </si>
  <si>
    <t>602 W. Ajo Way</t>
  </si>
  <si>
    <t>St. John School</t>
  </si>
  <si>
    <t>St. Michael Indian School</t>
  </si>
  <si>
    <t>Kee</t>
  </si>
  <si>
    <t>melissa.kee@smischools.org</t>
  </si>
  <si>
    <t>P O Box 650</t>
  </si>
  <si>
    <t>Lupton Road/St. Michael School Road</t>
  </si>
  <si>
    <t>St Michaels</t>
  </si>
  <si>
    <t>St. Michaels School</t>
  </si>
  <si>
    <t>Manager/Director</t>
  </si>
  <si>
    <t>mlss_kee@yahoo.com</t>
  </si>
  <si>
    <t>PO Box 650</t>
  </si>
  <si>
    <t>Lupton Road/St Michael  School Road</t>
  </si>
  <si>
    <t>St. Peter Indian Mission School</t>
  </si>
  <si>
    <t>Sister Carol</t>
  </si>
  <si>
    <t>Mathe</t>
  </si>
  <si>
    <t>sister.carolm@gmail.com</t>
  </si>
  <si>
    <t>P. O. Box 10840</t>
  </si>
  <si>
    <t>1500 N. St. Peter Road</t>
  </si>
  <si>
    <t>Sister Martha Mary</t>
  </si>
  <si>
    <t>Carpenter</t>
  </si>
  <si>
    <t>smarthac5@gmail.com</t>
  </si>
  <si>
    <t>PO Box 10840</t>
  </si>
  <si>
    <t>St. Thomas the Apostle</t>
  </si>
  <si>
    <t>Kroener</t>
  </si>
  <si>
    <t>lkroener@staphx.org</t>
  </si>
  <si>
    <t>4510 N. 24 Street</t>
  </si>
  <si>
    <t>Food service Mgr.</t>
  </si>
  <si>
    <t>4510 N. 24th Street</t>
  </si>
  <si>
    <t>Wide Ruins Community School</t>
  </si>
  <si>
    <t>Marleita</t>
  </si>
  <si>
    <t>m.begay@kinteelolta.org</t>
  </si>
  <si>
    <t>Box 309</t>
  </si>
  <si>
    <t>Chambers</t>
  </si>
  <si>
    <t>18 miles north I-40, hwy 191</t>
  </si>
  <si>
    <t>Wilhelmina</t>
  </si>
  <si>
    <t>w.francis@kinteelolta.org</t>
  </si>
  <si>
    <t>18 miles north I-40; Hwy 191</t>
  </si>
  <si>
    <t>Winslow Residential Hall Inc.</t>
  </si>
  <si>
    <t>Food Service Head Cook</t>
  </si>
  <si>
    <t>ljohn@wrhinc.org</t>
  </si>
  <si>
    <t>Winslow Residential Hall, Inc.</t>
  </si>
  <si>
    <t>600 North Alfred Ave.</t>
  </si>
  <si>
    <t>Winslow Residential Hall</t>
  </si>
  <si>
    <t>600 N. Alfred Ave.</t>
  </si>
  <si>
    <t>Child Crisis Arizona</t>
  </si>
  <si>
    <t>Betty</t>
  </si>
  <si>
    <t>Rivers</t>
  </si>
  <si>
    <t>betty.rivers@childcrisisaz.org</t>
  </si>
  <si>
    <t>817 N. Country Club</t>
  </si>
  <si>
    <t>604 W. 9th St.</t>
  </si>
  <si>
    <t>Betty.Rivers@childcrisisaz.org</t>
  </si>
  <si>
    <t>2711 E Roosevelt St</t>
  </si>
  <si>
    <t>Mahnah Wing a Satellite Home</t>
  </si>
  <si>
    <t>604 W. 9th Street</t>
  </si>
  <si>
    <t>Theresa Wing a Satellite Home</t>
  </si>
  <si>
    <t>Chilchinbeto Community School</t>
  </si>
  <si>
    <t>Julian</t>
  </si>
  <si>
    <t>Dean of Student Services</t>
  </si>
  <si>
    <t>jbegay@ccsedu.org</t>
  </si>
  <si>
    <t>P.O. Box 740</t>
  </si>
  <si>
    <t>E. Hwy. 160, Navajo Route 59</t>
  </si>
  <si>
    <t>Bia</t>
  </si>
  <si>
    <t>sbia@ccsedu.org</t>
  </si>
  <si>
    <t>PO Box 740</t>
  </si>
  <si>
    <t>East Hwy 160 Navajo Rt 59</t>
  </si>
  <si>
    <t>Casa Blanca Community School</t>
  </si>
  <si>
    <t>mbrown@cbcschools.com</t>
  </si>
  <si>
    <t>P.O. BOX 10940</t>
  </si>
  <si>
    <t>BAPCHULE</t>
  </si>
  <si>
    <t>3455 W. Casa Blanca Rd</t>
  </si>
  <si>
    <t>Casa Blanca Elementary School</t>
  </si>
  <si>
    <t>P.O. Box 10940</t>
  </si>
  <si>
    <t>Dilcon Community School, Inc.</t>
  </si>
  <si>
    <t>Virginia W.</t>
  </si>
  <si>
    <t>Chischillie</t>
  </si>
  <si>
    <t>virgiewc@yahoo.com</t>
  </si>
  <si>
    <t>HC 63 Box G</t>
  </si>
  <si>
    <t>38 miles N. of Winslow East pf 87 Navajo Route 15</t>
  </si>
  <si>
    <t>Dilcon</t>
  </si>
  <si>
    <t>Highway 87 East on Navajo Route 15</t>
  </si>
  <si>
    <t>Native American Christian Academy</t>
  </si>
  <si>
    <t>Stephan</t>
  </si>
  <si>
    <t>linda@naca-az.org</t>
  </si>
  <si>
    <t>P.O. Box 4013</t>
  </si>
  <si>
    <t>Sun Valley</t>
  </si>
  <si>
    <t>8450 S.Sun Valley Rd.</t>
  </si>
  <si>
    <t>8450 S. Sun Valley Road</t>
  </si>
  <si>
    <t>Kin Dah Lichii Olta, Inc.</t>
  </si>
  <si>
    <t>Ronnie</t>
  </si>
  <si>
    <t>Operation Manager</t>
  </si>
  <si>
    <t>rjames@kdlo.net</t>
  </si>
  <si>
    <t>Box 800</t>
  </si>
  <si>
    <t>Hwy 264, 5 mi E of Ganado, 2.5 N. on Rt 19</t>
  </si>
  <si>
    <t>Kin Dah Lichi'i Olta</t>
  </si>
  <si>
    <t>Operations Manager</t>
  </si>
  <si>
    <t>Hwy 264, 5 mi E.of Ganado,2.5N.on Rt 19</t>
  </si>
  <si>
    <t>Hunters Point Boarding School</t>
  </si>
  <si>
    <t>Patrice</t>
  </si>
  <si>
    <t>Henderson</t>
  </si>
  <si>
    <t>phenderson@hpbs-az.org</t>
  </si>
  <si>
    <t>P.O. Box 99</t>
  </si>
  <si>
    <t>State Highway 12 South Lupton Road</t>
  </si>
  <si>
    <t>Hunters Point Boarding school, Inc.</t>
  </si>
  <si>
    <t>Relando</t>
  </si>
  <si>
    <t>Catron</t>
  </si>
  <si>
    <t>rcatron@hpbs-az.org</t>
  </si>
  <si>
    <t>PO Box 99</t>
  </si>
  <si>
    <t>Saint Michaels</t>
  </si>
  <si>
    <t>Hwy 12 South Lupton Road</t>
  </si>
  <si>
    <t>Pinon Community School Board</t>
  </si>
  <si>
    <t>Nelwood</t>
  </si>
  <si>
    <t>carol.nelwood@pcswarriors.com</t>
  </si>
  <si>
    <t>P.O. Box 159</t>
  </si>
  <si>
    <t>Pinon Community School</t>
  </si>
  <si>
    <t>irene.joe@pcswarriors.com</t>
  </si>
  <si>
    <t>ASPC - Tucson Minors Unit</t>
  </si>
  <si>
    <t>Bonorand</t>
  </si>
  <si>
    <t>gbonoran@azcorrections.gov</t>
  </si>
  <si>
    <t>10000 S Wilmot Road</t>
  </si>
  <si>
    <t>P O Box 24400</t>
  </si>
  <si>
    <t>Life Learning Academy</t>
  </si>
  <si>
    <t>Adobe Mountain School</t>
  </si>
  <si>
    <t>Dave</t>
  </si>
  <si>
    <t>DMorgan@azdjc.gov</t>
  </si>
  <si>
    <t>2800 W. Pinnacle Peak Rd.</t>
  </si>
  <si>
    <t>dmorgan@azdjc.gov</t>
  </si>
  <si>
    <t>Keams Canyon Elementary School</t>
  </si>
  <si>
    <t>Clay</t>
  </si>
  <si>
    <t>rhonda.clay@bie.edu</t>
  </si>
  <si>
    <t>100 Main Street</t>
  </si>
  <si>
    <t>Keams Canyon Elementary</t>
  </si>
  <si>
    <t>School Food Manager</t>
  </si>
  <si>
    <t>Gila Crossing Community School</t>
  </si>
  <si>
    <t>brian.taylor@gccseagles.com</t>
  </si>
  <si>
    <t>4665 West Pecos Road</t>
  </si>
  <si>
    <t>5031 WEST GILA CROSSING ROAD.</t>
  </si>
  <si>
    <t>susan.stewart@gccsesgles.org</t>
  </si>
  <si>
    <t>4665 WEST PECOS ROAD</t>
  </si>
  <si>
    <t>LAVEEN</t>
  </si>
  <si>
    <t>5031 WEST GILA CROSSING ROAD</t>
  </si>
  <si>
    <t>Cibecue Community School, Inc.</t>
  </si>
  <si>
    <t>Fisher</t>
  </si>
  <si>
    <t>cfocibecue@gmail.com</t>
  </si>
  <si>
    <t>P.O.Box 80068</t>
  </si>
  <si>
    <t>Cibecue</t>
  </si>
  <si>
    <t>211 S. Elm Circle</t>
  </si>
  <si>
    <t>Dishchii'bikoh Community School</t>
  </si>
  <si>
    <t>P.O. Box 80068</t>
  </si>
  <si>
    <t>1001 Main Street</t>
  </si>
  <si>
    <t>Sacred Heart School</t>
  </si>
  <si>
    <t>Ma. Vanessa</t>
  </si>
  <si>
    <t>Rothstein</t>
  </si>
  <si>
    <t>mrothstein@diocesetucson.org</t>
  </si>
  <si>
    <t>207 W. Oak Street</t>
  </si>
  <si>
    <t>Alma N.</t>
  </si>
  <si>
    <t>Suarez</t>
  </si>
  <si>
    <t>School Administrative Assistant</t>
  </si>
  <si>
    <t>asuarez@diocesetucson.org</t>
  </si>
  <si>
    <t>American Charter Schools Foundation d.b.a. South Pointe High School</t>
  </si>
  <si>
    <t>South Pointe High School</t>
  </si>
  <si>
    <t>Melissa.Bernal@leonagroup.com</t>
  </si>
  <si>
    <t>8325 S Central Ave</t>
  </si>
  <si>
    <t>American Charter Schools Foundation d.b.a. Alta Vista High School</t>
  </si>
  <si>
    <t>7500 N Dreamy Draw Drive</t>
  </si>
  <si>
    <t>Suite 220</t>
  </si>
  <si>
    <t>5040 S. Campbell Ave</t>
  </si>
  <si>
    <t>Alta Vista High School</t>
  </si>
  <si>
    <t>Svetlana</t>
  </si>
  <si>
    <t>Shakhova</t>
  </si>
  <si>
    <t>svetlana.shakhova@leonagroup.com</t>
  </si>
  <si>
    <t>5040 S Campbell Ave</t>
  </si>
  <si>
    <t>Cochise Community Development Corporation</t>
  </si>
  <si>
    <t>4699 E Hwy 90</t>
  </si>
  <si>
    <t>1169 N. Colombo</t>
  </si>
  <si>
    <t>Bereran Academy</t>
  </si>
  <si>
    <t>Director Of Food Services</t>
  </si>
  <si>
    <t>1169 N. Colombo Ave</t>
  </si>
  <si>
    <t>Heritage Elementary School</t>
  </si>
  <si>
    <t>Amanda</t>
  </si>
  <si>
    <t>Herd</t>
  </si>
  <si>
    <t>Amandam.herd@gmail.com</t>
  </si>
  <si>
    <t>6805 N. 125th Ave</t>
  </si>
  <si>
    <t>Liberty Traditional Charter School</t>
  </si>
  <si>
    <t>amandam.herd@gmail.com</t>
  </si>
  <si>
    <t>4027 N. 45th Ave.</t>
  </si>
  <si>
    <t>6805 N. 125 th Ave.</t>
  </si>
  <si>
    <t>Heritage Elementary - Williams</t>
  </si>
  <si>
    <t>790 E. Rodeo Road</t>
  </si>
  <si>
    <t>Liberty Traditional Charter School - Saddleback</t>
  </si>
  <si>
    <t>3715 N. Washington</t>
  </si>
  <si>
    <t>Desert Heights Charter Schools</t>
  </si>
  <si>
    <t>Darney</t>
  </si>
  <si>
    <t>darlene.darney@dhschools.org</t>
  </si>
  <si>
    <t>5821 W. Beverly Lane</t>
  </si>
  <si>
    <t>Desert Heights Charter School</t>
  </si>
  <si>
    <t>5821 W Beverly Lane</t>
  </si>
  <si>
    <t>Desert Heights Preparatory Academy</t>
  </si>
  <si>
    <t>3540 W. Union Hills Dr</t>
  </si>
  <si>
    <t>MCCCD on behalf of Phoenix College Preparatory Academy</t>
  </si>
  <si>
    <t>carolina</t>
  </si>
  <si>
    <t>martinez</t>
  </si>
  <si>
    <t>carolina.martinez@phoenixcollege.edu</t>
  </si>
  <si>
    <t>3310 N. 10th Avenue</t>
  </si>
  <si>
    <t>Phoenix College Preparatory Academy</t>
  </si>
  <si>
    <t>3310 N. 10th Ave</t>
  </si>
  <si>
    <t>Most Holy Trinity Catholic School</t>
  </si>
  <si>
    <t>MacCleary</t>
  </si>
  <si>
    <t>mmaccleary@mht.org</t>
  </si>
  <si>
    <t>535 E. Alice Ave</t>
  </si>
  <si>
    <t>Kelli</t>
  </si>
  <si>
    <t>Lunch program Coordinator</t>
  </si>
  <si>
    <t>sragnusdei@mht.org</t>
  </si>
  <si>
    <t>535 E. Alice Ave.</t>
  </si>
  <si>
    <t>CITY Center for Collaborative Learning</t>
  </si>
  <si>
    <t>Jenn</t>
  </si>
  <si>
    <t>Bemis</t>
  </si>
  <si>
    <t>jenn@cityccl.org</t>
  </si>
  <si>
    <t>47 E. Pennington St.</t>
  </si>
  <si>
    <t>City High School</t>
  </si>
  <si>
    <t>Choi</t>
  </si>
  <si>
    <t>Paulo Freire Freedom School - University</t>
  </si>
  <si>
    <t>300 E. University Blvd. Suite 10</t>
  </si>
  <si>
    <t>Paulo Freire Freedom School - Downtown</t>
  </si>
  <si>
    <t>47 E. Pennington Street</t>
  </si>
  <si>
    <t>Satori, Inc.</t>
  </si>
  <si>
    <t>Honea</t>
  </si>
  <si>
    <t>jo@satorischool.org</t>
  </si>
  <si>
    <t>3727 N. 1st Ave</t>
  </si>
  <si>
    <t>3727 N. 1st Ave.</t>
  </si>
  <si>
    <t>Satori Charter School</t>
  </si>
  <si>
    <t>Admin</t>
  </si>
  <si>
    <t>susan@satorischool.org</t>
  </si>
  <si>
    <t>Arizona Montessori Charter School at Anthem</t>
  </si>
  <si>
    <t>priscilla.cruz@caurusacademy.org</t>
  </si>
  <si>
    <t>41900 N. 42nd Ave.</t>
  </si>
  <si>
    <t>AMCS at Anthem dba Caurus Academy</t>
  </si>
  <si>
    <t>Gap Ministries</t>
  </si>
  <si>
    <t>Kochman</t>
  </si>
  <si>
    <t>Community Food Coordinator</t>
  </si>
  <si>
    <t>jim.kochman@gapmin.com</t>
  </si>
  <si>
    <t>2861 N. Flowing Wells #161</t>
  </si>
  <si>
    <t>Splash House 3</t>
  </si>
  <si>
    <t>2861 N. Flowing Wells Rd #161</t>
  </si>
  <si>
    <t>2571 W Calle Senor Manuel</t>
  </si>
  <si>
    <t>Splash House 4</t>
  </si>
  <si>
    <t>1692 W Sunkist Rd</t>
  </si>
  <si>
    <t>Splash House 5</t>
  </si>
  <si>
    <t>5850 N Escondido Ln</t>
  </si>
  <si>
    <t>Splash House 6</t>
  </si>
  <si>
    <t>3052 W. Camino Alto</t>
  </si>
  <si>
    <t>Splash House 9</t>
  </si>
  <si>
    <t>1970 W Lemonwood Rd.</t>
  </si>
  <si>
    <t>Splash House 1</t>
  </si>
  <si>
    <t>14265 N. Skyhawk Dr.</t>
  </si>
  <si>
    <t>Splash 10</t>
  </si>
  <si>
    <t>1030 W Roller Coaster Rd</t>
  </si>
  <si>
    <t>Splash 11</t>
  </si>
  <si>
    <t>14215 N. Skyhawk Dr.</t>
  </si>
  <si>
    <t>Splash 13</t>
  </si>
  <si>
    <t>1731 W. Jagged Rock Rd.</t>
  </si>
  <si>
    <t>Splash 14</t>
  </si>
  <si>
    <t>1680 W. Sunkist Rd.</t>
  </si>
  <si>
    <t>San Miguel of Tucson Corp.</t>
  </si>
  <si>
    <t>Executive Assistant to the Principal</t>
  </si>
  <si>
    <t>mirandac@sanmiguelhigh.org</t>
  </si>
  <si>
    <t>6601 S. San Fernando Rd.</t>
  </si>
  <si>
    <t>San Miguel Catholic High School</t>
  </si>
  <si>
    <t>Rosefield Charter Elementary School, Inc.</t>
  </si>
  <si>
    <t>12050 N Bullard Ave</t>
  </si>
  <si>
    <t>Imagine Rosefield</t>
  </si>
  <si>
    <t>Ferris</t>
  </si>
  <si>
    <t>cheryl.ferris@imagineschools.org</t>
  </si>
  <si>
    <t>12050 N Bullard Ave.</t>
  </si>
  <si>
    <t>East Mesa Charter Elementary School, Inc.</t>
  </si>
  <si>
    <t>9701 E Southern Ave.</t>
  </si>
  <si>
    <t>Imagine East Mesa Elementary</t>
  </si>
  <si>
    <t>Woeller</t>
  </si>
  <si>
    <t>NSLP Coordinator/Lunch Supervisor</t>
  </si>
  <si>
    <t>michelle.woeller@imagineschools.org</t>
  </si>
  <si>
    <t>9701 E. Southern Ave.</t>
  </si>
  <si>
    <t>Mary's Mission and Developmental Center</t>
  </si>
  <si>
    <t>Lacey</t>
  </si>
  <si>
    <t>william.lacey@mmdcinc.org</t>
  </si>
  <si>
    <t>345 Taylor Dr.</t>
  </si>
  <si>
    <t>Mary's Mission</t>
  </si>
  <si>
    <t>Art</t>
  </si>
  <si>
    <t>Barcelo</t>
  </si>
  <si>
    <t>art.barcelo@mmdcinc.org</t>
  </si>
  <si>
    <t>Mary's Mission - Hereford Girls Unit</t>
  </si>
  <si>
    <t>8360 S. Hwy. 92</t>
  </si>
  <si>
    <t>Mary's Mission - Boys Unit - Main Office</t>
  </si>
  <si>
    <t>Southwest Key Program</t>
  </si>
  <si>
    <t>Financial Accountant</t>
  </si>
  <si>
    <t>jenniferg@swkey.org</t>
  </si>
  <si>
    <t>6002 Jain Lane</t>
  </si>
  <si>
    <t>Austin</t>
  </si>
  <si>
    <t>TX</t>
  </si>
  <si>
    <t>Campbell</t>
  </si>
  <si>
    <t>Porras</t>
  </si>
  <si>
    <t>Executive Assistant</t>
  </si>
  <si>
    <t>mporras@swkey.org</t>
  </si>
  <si>
    <t>2613 W. Campbell</t>
  </si>
  <si>
    <t>Lighthouse</t>
  </si>
  <si>
    <t>2932 N 14th Street</t>
  </si>
  <si>
    <t>Myrtle</t>
  </si>
  <si>
    <t>5125 W. Myrtle Ave.</t>
  </si>
  <si>
    <t>Hacienda Del Sol</t>
  </si>
  <si>
    <t>Jenniferg@swkey.org</t>
  </si>
  <si>
    <t>12030 North 113th Avenue</t>
  </si>
  <si>
    <t>Youngtown</t>
  </si>
  <si>
    <t>Casa Phoenix</t>
  </si>
  <si>
    <t>1201 South 7th Avenue</t>
  </si>
  <si>
    <t>Casa Las Palmas</t>
  </si>
  <si>
    <t>421 West Brown Road</t>
  </si>
  <si>
    <t>Estrella Del Norte</t>
  </si>
  <si>
    <t>1601 N. Oracle Rd</t>
  </si>
  <si>
    <t>Casa Kokopeli</t>
  </si>
  <si>
    <t>NSLP Admind</t>
  </si>
  <si>
    <t>723 East 2nd Ave</t>
  </si>
  <si>
    <t>Nazlini Community School</t>
  </si>
  <si>
    <t>George</t>
  </si>
  <si>
    <t>Begay, Jr.</t>
  </si>
  <si>
    <t>gbegayjr@nazlinischool.net</t>
  </si>
  <si>
    <t>HC-58 Box 35</t>
  </si>
  <si>
    <t>BegayJr.</t>
  </si>
  <si>
    <t>Desert Sky Community School, Inc.</t>
  </si>
  <si>
    <t>Adrian</t>
  </si>
  <si>
    <t>sadrian@desertskycommunityschool.org</t>
  </si>
  <si>
    <t>1350 N Arcadia Ave</t>
  </si>
  <si>
    <t>Desert Sky Community School</t>
  </si>
  <si>
    <t>Zoraida</t>
  </si>
  <si>
    <t>Records Manager</t>
  </si>
  <si>
    <t>zgonzalez@desertskycommunityschool.org</t>
  </si>
  <si>
    <t>Prescott Valley Charter School</t>
  </si>
  <si>
    <t>rgonzalez@pvschool.com</t>
  </si>
  <si>
    <t>P.O. Box 27348</t>
  </si>
  <si>
    <t>9500  E Lorna Lane</t>
  </si>
  <si>
    <t>Prescott Valley School</t>
  </si>
  <si>
    <t>PO Box 27348</t>
  </si>
  <si>
    <t>9500 Lorna Lane</t>
  </si>
  <si>
    <t>American Charter Schools Foundation d.b.a. South Ridge High School</t>
  </si>
  <si>
    <t>South Ridge High School</t>
  </si>
  <si>
    <t>elas.rodriguez@leonagroup.com</t>
  </si>
  <si>
    <t>1127 S 67th Ave</t>
  </si>
  <si>
    <t>Imagine Charter Elementary at Camelback, Inc.</t>
  </si>
  <si>
    <t>5050 N 19th Ave.</t>
  </si>
  <si>
    <t>Imagine Camelback Elementary</t>
  </si>
  <si>
    <t>Raymond</t>
  </si>
  <si>
    <t>lisa.raymond@imagineschools.com</t>
  </si>
  <si>
    <t>5050 N. 19th Ave</t>
  </si>
  <si>
    <t>Imagine Charter Elementary at Desert West, Inc.</t>
  </si>
  <si>
    <t>Imagine Desert West Elementary</t>
  </si>
  <si>
    <t>Leazotte</t>
  </si>
  <si>
    <t>kathy.leazotte@imagineschools.org</t>
  </si>
  <si>
    <t>6738 W McDowell Road</t>
  </si>
  <si>
    <t>Imagine Middle at East Mesa, Inc.</t>
  </si>
  <si>
    <t>Imagine East Mesa Middle</t>
  </si>
  <si>
    <t>9701 E. Southern Avenue</t>
  </si>
  <si>
    <t>Imagine Middle at Surprise, Inc.</t>
  </si>
  <si>
    <t>14850 N 156th Ave.</t>
  </si>
  <si>
    <t>Imagine Surprise Middle</t>
  </si>
  <si>
    <t>Cariann</t>
  </si>
  <si>
    <t>cariann.wade@imagineschools.org</t>
  </si>
  <si>
    <t>14850 N. 156th Ave.</t>
  </si>
  <si>
    <t>St. Agnes School</t>
  </si>
  <si>
    <t>Tax</t>
  </si>
  <si>
    <t>ctax@stagnesphx.org</t>
  </si>
  <si>
    <t>2311 E. Palm Lane</t>
  </si>
  <si>
    <t>Leanio</t>
  </si>
  <si>
    <t>bleanio@stagnesphx.org</t>
  </si>
  <si>
    <t>2311 East Palm Lane</t>
  </si>
  <si>
    <t>Hopi Day School</t>
  </si>
  <si>
    <t>Candas</t>
  </si>
  <si>
    <t>Bullock</t>
  </si>
  <si>
    <t>Chief School Administrator</t>
  </si>
  <si>
    <t>cbullock@hdshawks.org</t>
  </si>
  <si>
    <t>P.O. Box 42</t>
  </si>
  <si>
    <t>100 Hopi Day School Drive</t>
  </si>
  <si>
    <t>Sarah A.</t>
  </si>
  <si>
    <t>Honanie</t>
  </si>
  <si>
    <t>shonanie@hdshawks.org</t>
  </si>
  <si>
    <t>Kykotsmovi,</t>
  </si>
  <si>
    <t>Second Mesa Day School</t>
  </si>
  <si>
    <t>Newman</t>
  </si>
  <si>
    <t>Albert</t>
  </si>
  <si>
    <t>newman.albert@secondmesa.org</t>
  </si>
  <si>
    <t>PO BOX 98</t>
  </si>
  <si>
    <t>SECOND MESA</t>
  </si>
  <si>
    <t>HIGHWAY 264</t>
  </si>
  <si>
    <t>Second Mesa Day</t>
  </si>
  <si>
    <t>FOOD SERVICE MANAGER</t>
  </si>
  <si>
    <t>Hopi Jr/Sr High School</t>
  </si>
  <si>
    <t>Roselyn</t>
  </si>
  <si>
    <t>Dempsey-Jim</t>
  </si>
  <si>
    <t>Caferteria Manager</t>
  </si>
  <si>
    <t>rdempseyjim@hjshs.org</t>
  </si>
  <si>
    <t>Hopi Jr./Sr. High School</t>
  </si>
  <si>
    <t>One Mile Behind Police Station</t>
  </si>
  <si>
    <t>Hopi Jr. / Sr. High School</t>
  </si>
  <si>
    <t>Behind Police Station</t>
  </si>
  <si>
    <t>First Mesa Elementary School</t>
  </si>
  <si>
    <t>Mutz</t>
  </si>
  <si>
    <t>emily.mutz@bie.edu</t>
  </si>
  <si>
    <t>P.O. Box 750</t>
  </si>
  <si>
    <t>Polacca</t>
  </si>
  <si>
    <t>390 Main Street</t>
  </si>
  <si>
    <t>First Mesa Elementary</t>
  </si>
  <si>
    <t>Food Service Manger</t>
  </si>
  <si>
    <t>Hotevilla Bacavi Community School</t>
  </si>
  <si>
    <t>Toney</t>
  </si>
  <si>
    <t>raymondt@hbcschool.net</t>
  </si>
  <si>
    <t>PO BOX 48</t>
  </si>
  <si>
    <t>HOTEVILLA</t>
  </si>
  <si>
    <t>HWY 264, MP 367.2</t>
  </si>
  <si>
    <t>MAIN STREET</t>
  </si>
  <si>
    <t>P.O. Box48</t>
  </si>
  <si>
    <t>Hotevilla</t>
  </si>
  <si>
    <t>Hwy 264 Milepost 367.2</t>
  </si>
  <si>
    <t>Lolita</t>
  </si>
  <si>
    <t>Paddock</t>
  </si>
  <si>
    <t>lolita.paddock@bie.edu</t>
  </si>
  <si>
    <t>40 Main Street</t>
  </si>
  <si>
    <t>P.O. Box 40</t>
  </si>
  <si>
    <t>Supai</t>
  </si>
  <si>
    <t>Prinicipal</t>
  </si>
  <si>
    <t>PO Box 40</t>
  </si>
  <si>
    <t>Moencopi Day School</t>
  </si>
  <si>
    <t>Puhuyaoma</t>
  </si>
  <si>
    <t>tpuhuyaoma@moencopi.k12.az.us</t>
  </si>
  <si>
    <t>P.O. Box 185</t>
  </si>
  <si>
    <t>322 HWY 264</t>
  </si>
  <si>
    <t>322 Hwy 264</t>
  </si>
  <si>
    <t>Tammy Puhuyaoma</t>
  </si>
  <si>
    <t>Puhuuyaoma</t>
  </si>
  <si>
    <t>322 HWY. 264</t>
  </si>
  <si>
    <t>St. Charles School</t>
  </si>
  <si>
    <t>Glendena</t>
  </si>
  <si>
    <t>gbrown@diocesetucson.org</t>
  </si>
  <si>
    <t>339 San Carlos Ave</t>
  </si>
  <si>
    <t>Temporary Assignment to Walter Jacobson</t>
  </si>
  <si>
    <t>St. Charles School Lunch Coordinator</t>
  </si>
  <si>
    <t>lrussell@diocesetucson.org</t>
  </si>
  <si>
    <t>355 San Carlos Ave</t>
  </si>
  <si>
    <t>Sage Academy, Inc.</t>
  </si>
  <si>
    <t>Clawson</t>
  </si>
  <si>
    <t>lynnette@sage-academy.org</t>
  </si>
  <si>
    <t>10220 N 25th Avenue</t>
  </si>
  <si>
    <t>Sage Academy</t>
  </si>
  <si>
    <t>Concordia Charter School, Inc.</t>
  </si>
  <si>
    <t>Gomez-Acosta</t>
  </si>
  <si>
    <t>Wellness Coordinator</t>
  </si>
  <si>
    <t>rgomezacosta@concordiacharter.org</t>
  </si>
  <si>
    <t>142 N Date St</t>
  </si>
  <si>
    <t>Concordia Charter School</t>
  </si>
  <si>
    <t>Kassandra</t>
  </si>
  <si>
    <t>Morales-Loza</t>
  </si>
  <si>
    <t>Nutrition Services Manager</t>
  </si>
  <si>
    <t>kmorales-loza@concordiacharter.org</t>
  </si>
  <si>
    <t>142 N. Date St.</t>
  </si>
  <si>
    <t>Imagine Camelback Middle, Inc.</t>
  </si>
  <si>
    <t>Imagine Camelback Middle</t>
  </si>
  <si>
    <t>lisa.raymond@imagineschools.org</t>
  </si>
  <si>
    <t>Imagine Desert West Middle, Inc.</t>
  </si>
  <si>
    <t>6800 W. McDowell Road</t>
  </si>
  <si>
    <t>Imagine Desert West Middle</t>
  </si>
  <si>
    <t>6800 W. McDowell Rd.</t>
  </si>
  <si>
    <t>Imagine Avondale Elementary, Inc.</t>
  </si>
  <si>
    <t>950 N Eliseo Felix Jr Way</t>
  </si>
  <si>
    <t>Imagine Avondale Elementary</t>
  </si>
  <si>
    <t>anabel.ortiz@imagineschools.org</t>
  </si>
  <si>
    <t>950 N. Eliseo C. Felix Jr. Way</t>
  </si>
  <si>
    <t>Imagine Coolidge Elementary, Inc.</t>
  </si>
  <si>
    <t>1290 W Vah Ki Inn Rd,</t>
  </si>
  <si>
    <t>Imagine Coolidge Elementary</t>
  </si>
  <si>
    <t>maria.robles@imagineschools.org</t>
  </si>
  <si>
    <t>1290 W. Vah Ki Inn Road</t>
  </si>
  <si>
    <t>Bld A</t>
  </si>
  <si>
    <t>Imagine Prep Superstition, Inc.</t>
  </si>
  <si>
    <t>Regional NSLP  Sponsor Representative</t>
  </si>
  <si>
    <t>1843 W 16th Ave.</t>
  </si>
  <si>
    <t>Imagine Prep Superstition</t>
  </si>
  <si>
    <t>Carrie</t>
  </si>
  <si>
    <t>Mathews</t>
  </si>
  <si>
    <t>carrie.mathews@imagineschools.org</t>
  </si>
  <si>
    <t>1843 W. 16th Avenue</t>
  </si>
  <si>
    <t>Imagine Prep Surprise, Inc.</t>
  </si>
  <si>
    <t>Imagine Prep Surprise</t>
  </si>
  <si>
    <t>EAGLE South Mountain Charter, Inc.</t>
  </si>
  <si>
    <t>Jacqueline</t>
  </si>
  <si>
    <t>Operations Support Specialist</t>
  </si>
  <si>
    <t>jacqueline.munoz@eagleprep.org</t>
  </si>
  <si>
    <t>2450 West South Mountain Avenue</t>
  </si>
  <si>
    <t>EAGLE College Prep</t>
  </si>
  <si>
    <t>Math and Science Success Academy, Inc.</t>
  </si>
  <si>
    <t>434 W. Lerdo Rd</t>
  </si>
  <si>
    <t>Math and Science Success Academy</t>
  </si>
  <si>
    <t>Hunt</t>
  </si>
  <si>
    <t>Student Dean</t>
  </si>
  <si>
    <t>shunt@massatucson.org</t>
  </si>
  <si>
    <t>434 W. Lerdo Rd.</t>
  </si>
  <si>
    <t>Pima Prevention Partnership dba Pima Partnership Academy</t>
  </si>
  <si>
    <t>Pima Partnership Academy</t>
  </si>
  <si>
    <t>1346 N. Stone Avenue</t>
  </si>
  <si>
    <t>Daisy Education Corporation dba Sonoran Science Academy - Phoenix</t>
  </si>
  <si>
    <t>Jimale</t>
  </si>
  <si>
    <t>NSLP coordinator</t>
  </si>
  <si>
    <t>bjimale@sonoranschools.org</t>
  </si>
  <si>
    <t>4837 E McDowell Road</t>
  </si>
  <si>
    <t>Sonoran Science Academy - Phoenix</t>
  </si>
  <si>
    <t>4837 E. McDowell Road</t>
  </si>
  <si>
    <t>Daisy Education Corporation dba Sonoran Science Academy East</t>
  </si>
  <si>
    <t>Merson</t>
  </si>
  <si>
    <t>kmerson@sonoranschools.org</t>
  </si>
  <si>
    <t>7450 E Stella Rd</t>
  </si>
  <si>
    <t>Sonoran Science Academy East</t>
  </si>
  <si>
    <t>Daisy Education Corporation dba Paragon Science Academy</t>
  </si>
  <si>
    <t>Daviana</t>
  </si>
  <si>
    <t>dreyes@sonoranschools.org</t>
  </si>
  <si>
    <t>2975 W Linda Lane</t>
  </si>
  <si>
    <t>Paragon Science Academy</t>
  </si>
  <si>
    <t>NSLP coordinator - Site</t>
  </si>
  <si>
    <t>ASU Preparatory Academy</t>
  </si>
  <si>
    <t>Fawn</t>
  </si>
  <si>
    <t>Eaton</t>
  </si>
  <si>
    <t>Director of Student Support Services</t>
  </si>
  <si>
    <t>fawn.eaton@asu.edu</t>
  </si>
  <si>
    <t>735 E. Fillmore St.</t>
  </si>
  <si>
    <t>ASU Preparatory Academy - South Phoenix Primary</t>
  </si>
  <si>
    <t>Jocelyne</t>
  </si>
  <si>
    <t>Canestrelli</t>
  </si>
  <si>
    <t>Nutrition and Wellness Coordinator</t>
  </si>
  <si>
    <t>jocelyne.canestrelli@asu.edu</t>
  </si>
  <si>
    <t>40 Hildago Ave</t>
  </si>
  <si>
    <t>ASU Preparatory Academy- Phoenix Elementary</t>
  </si>
  <si>
    <t>ASU Preparatory Academy - South Phoenix Intermediate</t>
  </si>
  <si>
    <t>5610 S. Central Ave.</t>
  </si>
  <si>
    <t>ASU Preparatory Academy- Phoenix High School</t>
  </si>
  <si>
    <t>Canstrelli</t>
  </si>
  <si>
    <t>735 East Filmore St</t>
  </si>
  <si>
    <t>ASU Preparatory Academy - South Phoenix High School</t>
  </si>
  <si>
    <t>4445 South Central Ave</t>
  </si>
  <si>
    <t>ASU Preparatory Academy - Phoenix Middle School</t>
  </si>
  <si>
    <t>Imagine Prep Coolidge, Inc.</t>
  </si>
  <si>
    <t>1290 B W Vah Ki Inn Rd</t>
  </si>
  <si>
    <t>Imagine Prep Coolidge</t>
  </si>
  <si>
    <t>elsa.gomez@imagineschools.org</t>
  </si>
  <si>
    <t>1290B W. Vah Ki Inn Road</t>
  </si>
  <si>
    <t>Bld B</t>
  </si>
  <si>
    <t>West Valley Arts and Technology Academy, Inc.</t>
  </si>
  <si>
    <t>Gamez</t>
  </si>
  <si>
    <t>Office Admin</t>
  </si>
  <si>
    <t>ngamez@riverbendprep.org</t>
  </si>
  <si>
    <t>5625 S. 51Ave</t>
  </si>
  <si>
    <t>Riverbend Prep</t>
  </si>
  <si>
    <t>Cherylandria</t>
  </si>
  <si>
    <t>Banks</t>
  </si>
  <si>
    <t>cbanks@riverbendprep.org</t>
  </si>
  <si>
    <t>Back To Life, Inc.</t>
  </si>
  <si>
    <t>CEO</t>
  </si>
  <si>
    <t>gpadilla@backtolifeinc2.com</t>
  </si>
  <si>
    <t>P.O. Box 8237</t>
  </si>
  <si>
    <t>5915 W Roanoke Ave</t>
  </si>
  <si>
    <t>Roanoke House</t>
  </si>
  <si>
    <t>Montoya</t>
  </si>
  <si>
    <t>veronicabtl@cox.net</t>
  </si>
  <si>
    <t>PO Box 8237</t>
  </si>
  <si>
    <t>Sunset House</t>
  </si>
  <si>
    <t>3301 N 63rd Ave</t>
  </si>
  <si>
    <t>Unity House</t>
  </si>
  <si>
    <t>1495 W. Mohawk Lane</t>
  </si>
  <si>
    <t>Mingus Mountain Estate Residential Center, Inc.</t>
  </si>
  <si>
    <t>Toro</t>
  </si>
  <si>
    <t>Human Resources Director</t>
  </si>
  <si>
    <t>jose.toro@sequelyouthservices.com</t>
  </si>
  <si>
    <t>P.O. Box 26485</t>
  </si>
  <si>
    <t>Presott Valley</t>
  </si>
  <si>
    <t>15801 E. Don Carlos Dr.</t>
  </si>
  <si>
    <t>Mingus Mountain Academy</t>
  </si>
  <si>
    <t>15801 E. Don Carlos Dr</t>
  </si>
  <si>
    <t>Choice Academies, Inc.</t>
  </si>
  <si>
    <t>Maddox</t>
  </si>
  <si>
    <t>dmaddox@choiceacademies.org</t>
  </si>
  <si>
    <t>2323 W Parkside Lane</t>
  </si>
  <si>
    <t>Adams Traditional Academy</t>
  </si>
  <si>
    <t>Food Corridinator</t>
  </si>
  <si>
    <t>Jefferson Preparatory High School</t>
  </si>
  <si>
    <t>16635 N. 51st. Ave.</t>
  </si>
  <si>
    <t>Pioneer Preparatory School</t>
  </si>
  <si>
    <t>Jacki</t>
  </si>
  <si>
    <t>Stroup</t>
  </si>
  <si>
    <t>Associate Director</t>
  </si>
  <si>
    <t>jacki.stroup@ppslions.org</t>
  </si>
  <si>
    <t>6510 W. Clarendon Avenue</t>
  </si>
  <si>
    <t>Imagine Superstition Middle, Inc.</t>
  </si>
  <si>
    <t>Imagine Superstition Middle</t>
  </si>
  <si>
    <t>1843 W. 16th Ave.</t>
  </si>
  <si>
    <t>Imagine Avondale Middle, Inc.</t>
  </si>
  <si>
    <t>950 N Eliseo Felix Jr. Way</t>
  </si>
  <si>
    <t>Imagine Avondale Middle</t>
  </si>
  <si>
    <t>Morrison Education Group, Inc.</t>
  </si>
  <si>
    <t>Pena</t>
  </si>
  <si>
    <t>RPena@sunvalleyacademy.org</t>
  </si>
  <si>
    <t>5806 South 35th Avenue</t>
  </si>
  <si>
    <t>Sun Valley Academy</t>
  </si>
  <si>
    <t>rpena@sunvalleyacademy.org</t>
  </si>
  <si>
    <t>Academy Del Sol, Inc.</t>
  </si>
  <si>
    <t>Noemi</t>
  </si>
  <si>
    <t>Pereyda</t>
  </si>
  <si>
    <t>npereyda@academydelsol.com</t>
  </si>
  <si>
    <t>7102 W. Valley Crest Place</t>
  </si>
  <si>
    <t>Academy Del Sol</t>
  </si>
  <si>
    <t>Academy Del Sol - Hope</t>
  </si>
  <si>
    <t>8379 Avecenna St.</t>
  </si>
  <si>
    <t>Research Based Education Corporation</t>
  </si>
  <si>
    <t>Mendez</t>
  </si>
  <si>
    <t>hmendez@pauldenschool.com</t>
  </si>
  <si>
    <t>PO Box 940</t>
  </si>
  <si>
    <t>Paulden</t>
  </si>
  <si>
    <t>24850 Naples Street</t>
  </si>
  <si>
    <t>Paulden Community School</t>
  </si>
  <si>
    <t>Daisy Education Corporation dba. Sonoran Science Academy Davis Monthan</t>
  </si>
  <si>
    <t>lvargas@sonoranschools.org</t>
  </si>
  <si>
    <t>5741 E Ironwood St</t>
  </si>
  <si>
    <t>Sonoran Science Academy - Davis Monthan</t>
  </si>
  <si>
    <t>CAFA, Inc. dba Learning Foundation and Performing Arts Gilbert</t>
  </si>
  <si>
    <t>Wright</t>
  </si>
  <si>
    <t>District NSLP</t>
  </si>
  <si>
    <t>learningfoundation@msn.com</t>
  </si>
  <si>
    <t>Learning Foundation and Performing Arts Gilbert</t>
  </si>
  <si>
    <t>Heide</t>
  </si>
  <si>
    <t>Matejicka</t>
  </si>
  <si>
    <t>Lunch coordinator</t>
  </si>
  <si>
    <t>Hmatejicka@lfapa.org</t>
  </si>
  <si>
    <t>Learning Foundation and Performing Arts Warner</t>
  </si>
  <si>
    <t>Jeannine</t>
  </si>
  <si>
    <t>Rucker</t>
  </si>
  <si>
    <t>Site Lunch Director</t>
  </si>
  <si>
    <t>JRucker@lfapa.org</t>
  </si>
  <si>
    <t>3939 E Warner Road</t>
  </si>
  <si>
    <t>CAFA, Inc. dba Learning Foundation and Performing Arts Alta Mesa</t>
  </si>
  <si>
    <t>Adriana</t>
  </si>
  <si>
    <t>ARutledge@lfapa.org</t>
  </si>
  <si>
    <t>5761 East Brown Rd.</t>
  </si>
  <si>
    <t>Learning Foundation and Performing Arts Alta Mesa</t>
  </si>
  <si>
    <t>Nutrition Lunch Coordinator</t>
  </si>
  <si>
    <t>5761 East Brown Rd</t>
  </si>
  <si>
    <t>Kaizen Education Foundation dba Vista Grove Preparatory Academy Elementary</t>
  </si>
  <si>
    <t>Emma.cabral@leonagroup.com</t>
  </si>
  <si>
    <t>CPLC Community Schools dba Hiaki High School</t>
  </si>
  <si>
    <t>Abigial</t>
  </si>
  <si>
    <t>abigail.meza@cplc.org</t>
  </si>
  <si>
    <t>351 N. Oracle Road</t>
  </si>
  <si>
    <t>Envision High School</t>
  </si>
  <si>
    <t>Federal and State Programs Coordinator</t>
  </si>
  <si>
    <t>Kaizen Education Foundation dba Gilbert Arts Academy</t>
  </si>
  <si>
    <t>Isaacs</t>
  </si>
  <si>
    <t>laura.isaacs@leonagroup.com</t>
  </si>
  <si>
    <t>862 E Elliott Rd.</t>
  </si>
  <si>
    <t>Kaizen Education Foundation dba Liberty Arts Academy</t>
  </si>
  <si>
    <t>Liberty Arts Academy</t>
  </si>
  <si>
    <t>Standage</t>
  </si>
  <si>
    <t>diana.standage@leonagroup.com</t>
  </si>
  <si>
    <t>3015 S Power Rd.</t>
  </si>
  <si>
    <t>Ed Ahead</t>
  </si>
  <si>
    <t>Penczar</t>
  </si>
  <si>
    <t>jack.penczar@academyadventuresmidtown.com</t>
  </si>
  <si>
    <t>3025 North Winstel</t>
  </si>
  <si>
    <t>Adventure School</t>
  </si>
  <si>
    <t>maryann@adventureschoolstucson.com</t>
  </si>
  <si>
    <t>5757 E. Pima Street</t>
  </si>
  <si>
    <t>Academy Adventures Midtown</t>
  </si>
  <si>
    <t>Kaizen Education Foundation dba Havasu Preparatory Academy</t>
  </si>
  <si>
    <t>Havasu Preparatory Academy</t>
  </si>
  <si>
    <t>kathleen.english@leonagroup.com</t>
  </si>
  <si>
    <t>3155 Maricopa Ave.</t>
  </si>
  <si>
    <t>Pima Prevention Partnership</t>
  </si>
  <si>
    <t>Arizona Collegiate High School</t>
  </si>
  <si>
    <t>3161 N. 33rd Avenue</t>
  </si>
  <si>
    <t>Daisy Education Corporation dba. Sonoran Science Academy Peoria</t>
  </si>
  <si>
    <t>Merisa</t>
  </si>
  <si>
    <t>Hamzic</t>
  </si>
  <si>
    <t>mhamzic@sonoranschools.org</t>
  </si>
  <si>
    <t>17667 N. 91st Ave</t>
  </si>
  <si>
    <t>Sonoran Science Academy-Peoria</t>
  </si>
  <si>
    <t>Hanzic</t>
  </si>
  <si>
    <t>17667 N 91st Ave</t>
  </si>
  <si>
    <t>Kaizen Education Foundation dba Mission Heights Preparatory High School</t>
  </si>
  <si>
    <t>Mission Heights Preparatory High School</t>
  </si>
  <si>
    <t>Jenkins</t>
  </si>
  <si>
    <t>yvonne.jenkins@leonagroup.com</t>
  </si>
  <si>
    <t>1376 E. Cottonwood Lane</t>
  </si>
  <si>
    <t>Leading Edge Academy Maricopa</t>
  </si>
  <si>
    <t>18700 N. Porter Road</t>
  </si>
  <si>
    <t>Sherreis</t>
  </si>
  <si>
    <t>Moreland</t>
  </si>
  <si>
    <t>smoreland@leadingedgeacademy.com</t>
  </si>
  <si>
    <t>Shonto Governing Board of Education, Inc.</t>
  </si>
  <si>
    <t>Pearl</t>
  </si>
  <si>
    <t>psmith@shontoprep.org</t>
  </si>
  <si>
    <t>P.O. Box 7900</t>
  </si>
  <si>
    <t>Shonto</t>
  </si>
  <si>
    <t>Highway 160 and Route 98</t>
  </si>
  <si>
    <t>Shonto Preparatory Technology High School</t>
  </si>
  <si>
    <t>Nellie</t>
  </si>
  <si>
    <t>njames@shontoprep.org</t>
  </si>
  <si>
    <t>Hwy 160 and Route 98</t>
  </si>
  <si>
    <t>Shonto Preparatory School</t>
  </si>
  <si>
    <t>Highway 160/ Route 98</t>
  </si>
  <si>
    <t>Maryvale Preparatory Academy</t>
  </si>
  <si>
    <t>Mehdi</t>
  </si>
  <si>
    <t>Lasker</t>
  </si>
  <si>
    <t>Business Operations Manager</t>
  </si>
  <si>
    <t>mlasker@greatheartsaz.org</t>
  </si>
  <si>
    <t>4825 W Camelback Rd</t>
  </si>
  <si>
    <t>Great Hearts Academies - Maryvale Prep</t>
  </si>
  <si>
    <t>Business Ops Manager</t>
  </si>
  <si>
    <t>Institute for Transformative Education, Inc.</t>
  </si>
  <si>
    <t>Marylyn</t>
  </si>
  <si>
    <t>State and Federal Program Director</t>
  </si>
  <si>
    <t>mvalencia@changemakerhighschool.org</t>
  </si>
  <si>
    <t>1300 S Belvedere Avenue</t>
  </si>
  <si>
    <t>Changemaker High School</t>
  </si>
  <si>
    <t>Xavier</t>
  </si>
  <si>
    <t>Teso</t>
  </si>
  <si>
    <t>xteso@changemakerhighschool.org</t>
  </si>
  <si>
    <t>Academy of Mathematics and Science South, Inc.</t>
  </si>
  <si>
    <t>5701 W. McDowell Rd</t>
  </si>
  <si>
    <t>Academy of Mathematics and Science South</t>
  </si>
  <si>
    <t>Juliet</t>
  </si>
  <si>
    <t>Riffenburg</t>
  </si>
  <si>
    <t>jriffenburg@amsphoenix.org</t>
  </si>
  <si>
    <t>3335 W. Flower St</t>
  </si>
  <si>
    <t>Academy of Math and Science Desert Sky</t>
  </si>
  <si>
    <t>Kristina</t>
  </si>
  <si>
    <t>Winters</t>
  </si>
  <si>
    <t>kwinters@amsdesertsky.org</t>
  </si>
  <si>
    <t>5701 W McDowell Rd</t>
  </si>
  <si>
    <t>George Gervin Youth Center, Inc.</t>
  </si>
  <si>
    <t>gbaker@gervinprepacademy.org</t>
  </si>
  <si>
    <t>2801 E. Southern Ave</t>
  </si>
  <si>
    <t>George Gervin Prep Academy</t>
  </si>
  <si>
    <t>Happy Valley East</t>
  </si>
  <si>
    <t>Azevedo</t>
  </si>
  <si>
    <t>sazevedo@hveast.com</t>
  </si>
  <si>
    <t>266 E. Westbrooke Rd.</t>
  </si>
  <si>
    <t>Happy Valley School East Campus</t>
  </si>
  <si>
    <t>Adminitrative Assistant</t>
  </si>
  <si>
    <t>Many Farms Community School, Inc</t>
  </si>
  <si>
    <t>Byjoe</t>
  </si>
  <si>
    <t>lisa.byjoe@mfcsaz.org</t>
  </si>
  <si>
    <t>Many Farms Community School, Inc.</t>
  </si>
  <si>
    <t>PO Box 70</t>
  </si>
  <si>
    <t>2600 Lake View Drive</t>
  </si>
  <si>
    <t>Many Farms Community School</t>
  </si>
  <si>
    <t>Chee</t>
  </si>
  <si>
    <t>marie.chee@mfcsaz.org</t>
  </si>
  <si>
    <t>EAGLE College Prep Harmony, LLC</t>
  </si>
  <si>
    <t>Courtney</t>
  </si>
  <si>
    <t>Eddings</t>
  </si>
  <si>
    <t>School Operations Manager</t>
  </si>
  <si>
    <t>courtney.eddings@eagleharmony.org</t>
  </si>
  <si>
    <t>2435 E. Pecan Rd.</t>
  </si>
  <si>
    <t>EAGLE College Prep Harmony</t>
  </si>
  <si>
    <t>Leading Edge Academy Queen Creek</t>
  </si>
  <si>
    <t>4815 W. Hunt Highway</t>
  </si>
  <si>
    <t>Leading Edge Academy Mountain View</t>
  </si>
  <si>
    <t>Christi</t>
  </si>
  <si>
    <t>LaRue</t>
  </si>
  <si>
    <t>clarue@leadingedgeacademy.com</t>
  </si>
  <si>
    <t>Jeehdeez'a Elementary</t>
  </si>
  <si>
    <t>Violet</t>
  </si>
  <si>
    <t>Wartz</t>
  </si>
  <si>
    <t>violet.wartz@bie.edu</t>
  </si>
  <si>
    <t>3 miles East on Navajo Route 60</t>
  </si>
  <si>
    <t>P. O. Box 1073</t>
  </si>
  <si>
    <t>Pinon,</t>
  </si>
  <si>
    <t>3 miles East on Navajo Route</t>
  </si>
  <si>
    <t>The Paideia Academies, Inc</t>
  </si>
  <si>
    <t>Torres-Rivas</t>
  </si>
  <si>
    <t>NSLP/Transportation Clerk</t>
  </si>
  <si>
    <t>dtorres-rivas@paideiamail.com</t>
  </si>
  <si>
    <t>7777 S. 15th Terrace</t>
  </si>
  <si>
    <t>The Paideia Academy of South Phoenix</t>
  </si>
  <si>
    <t>Kingdom Preparatory Academy</t>
  </si>
  <si>
    <t>Jeannette</t>
  </si>
  <si>
    <t>jrussell@kpa88.com</t>
  </si>
  <si>
    <t>8838 S. 2nd Avenue</t>
  </si>
  <si>
    <t>Davenpart</t>
  </si>
  <si>
    <t>admin assistant</t>
  </si>
  <si>
    <t>folhowoffice@gmail.com</t>
  </si>
  <si>
    <t>Hirsch Academy A Challenge Foundation</t>
  </si>
  <si>
    <t>Montes</t>
  </si>
  <si>
    <t>nmontes@hirschaz.org</t>
  </si>
  <si>
    <t>6535 E. Osborn Rd. #401</t>
  </si>
  <si>
    <t>Office Manager/NSLP Coordinator</t>
  </si>
  <si>
    <t>6535 E Osborn Rd. #401</t>
  </si>
  <si>
    <t>Empower College Prep</t>
  </si>
  <si>
    <t>Ortega</t>
  </si>
  <si>
    <t>Grants and Finance Manager</t>
  </si>
  <si>
    <t>angela.ortega@empowercollegeprep.org</t>
  </si>
  <si>
    <t>5757 N. Central Avenue</t>
  </si>
  <si>
    <t>Building B, Lower Level</t>
  </si>
  <si>
    <t>Matt</t>
  </si>
  <si>
    <t>Kainaroi</t>
  </si>
  <si>
    <t>mkainaroi@schoolops.org</t>
  </si>
  <si>
    <t>Empower Collegiate Academy</t>
  </si>
  <si>
    <t>2411 W. Colter St.</t>
  </si>
  <si>
    <t>Incito Schools</t>
  </si>
  <si>
    <t>Ashton</t>
  </si>
  <si>
    <t>Lead Lunch Coordinator</t>
  </si>
  <si>
    <t>Rebecca.ashton@incitoschools.org</t>
  </si>
  <si>
    <t>P.O. Box 7470</t>
  </si>
  <si>
    <t>877 North Sarival Ave.</t>
  </si>
  <si>
    <t>Support/Cafeteria Lead</t>
  </si>
  <si>
    <t>877 North Sarival Ave</t>
  </si>
  <si>
    <t>Kaizen Education Foundation dba Discover U Elementary School</t>
  </si>
  <si>
    <t>Desert Mirage Preparatory Academy</t>
  </si>
  <si>
    <t>Englund</t>
  </si>
  <si>
    <t>nancy.englund@leonagroup.com</t>
  </si>
  <si>
    <t>13226 N. 113th Ave</t>
  </si>
  <si>
    <t>Kaizen Education Foundation dba Advance U</t>
  </si>
  <si>
    <t>South Mountain Preparatory Academy</t>
  </si>
  <si>
    <t>Corado</t>
  </si>
  <si>
    <t>cindy.corado@leonagroup.com</t>
  </si>
  <si>
    <t>7500 N Dreamy Draw Drive #220</t>
  </si>
  <si>
    <t>449 E. Southern Ave</t>
  </si>
  <si>
    <t>Blackwater Community School, Inc.</t>
  </si>
  <si>
    <t>Ofelia</t>
  </si>
  <si>
    <t>Inurriaga</t>
  </si>
  <si>
    <t>Ofelia.Inurriaga@bwcs.k12.az.us</t>
  </si>
  <si>
    <t>3652 east blackwater school road</t>
  </si>
  <si>
    <t>coolidge</t>
  </si>
  <si>
    <t>Blackwater Community School</t>
  </si>
  <si>
    <t>Collaborative Pathways, Inc.</t>
  </si>
  <si>
    <t>Gulen</t>
  </si>
  <si>
    <t>Hick</t>
  </si>
  <si>
    <t>CFO and Director</t>
  </si>
  <si>
    <t>ghicks@arizonacollegeprep.com</t>
  </si>
  <si>
    <t>3434 E Broadway Blvd</t>
  </si>
  <si>
    <t>Arizona College Prep Academy</t>
  </si>
  <si>
    <t>Picazzo</t>
  </si>
  <si>
    <t>vpicazzo@arizonacollegeprep.com</t>
  </si>
  <si>
    <t>St. Louis the King Catholic School</t>
  </si>
  <si>
    <t>Hiroshima</t>
  </si>
  <si>
    <t>Rascon</t>
  </si>
  <si>
    <t>office@slkschool.com</t>
  </si>
  <si>
    <t>4331 W. Maryland Ave.</t>
  </si>
  <si>
    <t>Rascom</t>
  </si>
  <si>
    <t>Florence Crittenton Service of Arizona, Inc.</t>
  </si>
  <si>
    <t>715 W. Mariposa Street</t>
  </si>
  <si>
    <t>Florence Crittenton Therapeutic Group Home</t>
  </si>
  <si>
    <t>jstiner@florit.org</t>
  </si>
  <si>
    <t>Intermountain Centers for Human Development</t>
  </si>
  <si>
    <t>Crotwell</t>
  </si>
  <si>
    <t>kcrotwell@ichd.net</t>
  </si>
  <si>
    <t>PO Box 17749</t>
  </si>
  <si>
    <t>1100 W Fresno Street</t>
  </si>
  <si>
    <t>Intermountain Academy</t>
  </si>
  <si>
    <t>Torah Day School of Phoenix</t>
  </si>
  <si>
    <t>Friedman</t>
  </si>
  <si>
    <t>Administrator/Vice President</t>
  </si>
  <si>
    <t>gmfriedman@gmail.com</t>
  </si>
  <si>
    <t>1118 W. Glendale Ave</t>
  </si>
  <si>
    <t>SySTEM Schools</t>
  </si>
  <si>
    <t>Office Managaer</t>
  </si>
  <si>
    <t>manuel.vargas@systemschools.org</t>
  </si>
  <si>
    <t>1301 E. Almeria Rd</t>
  </si>
  <si>
    <t>Sponsors Terminated</t>
  </si>
  <si>
    <t>SySTEM Phoenix</t>
  </si>
  <si>
    <t>solutions@schoolops.org</t>
  </si>
  <si>
    <t>1301 E. Almeria Rd.</t>
  </si>
  <si>
    <t>CASA Academy</t>
  </si>
  <si>
    <t>Liliana</t>
  </si>
  <si>
    <t>Villasenor</t>
  </si>
  <si>
    <t>liliana.villasenor@casaacademy.org</t>
  </si>
  <si>
    <t>1500 W MARYLAND AVE</t>
  </si>
  <si>
    <t>PHOENIX</t>
  </si>
  <si>
    <t>Villalobos</t>
  </si>
  <si>
    <t>School Operations Associate</t>
  </si>
  <si>
    <t>regina.villalobos@casaacademy.org</t>
  </si>
  <si>
    <t>EAGLE College Prep Maryvale, LLC</t>
  </si>
  <si>
    <t>Sandy</t>
  </si>
  <si>
    <t>Macias</t>
  </si>
  <si>
    <t>sandy.macias@eagleprep.org</t>
  </si>
  <si>
    <t>3950 N.53rd Ave</t>
  </si>
  <si>
    <t>EAGLE College Prep Maryvale</t>
  </si>
  <si>
    <t>3950 N. 53rd Ave</t>
  </si>
  <si>
    <t>EAGLE College Prep Mesa, LLC.</t>
  </si>
  <si>
    <t>Alyse</t>
  </si>
  <si>
    <t>Birkemeyer</t>
  </si>
  <si>
    <t>alyse.birkemeyer@eagleprep.org</t>
  </si>
  <si>
    <t>1619 E. Main Street</t>
  </si>
  <si>
    <t>EAGLE College Preparatory School- Mesa</t>
  </si>
  <si>
    <t>1619 E Main Street</t>
  </si>
  <si>
    <t>Vista College Preparatory, Inc.</t>
  </si>
  <si>
    <t>Kela</t>
  </si>
  <si>
    <t>Powers</t>
  </si>
  <si>
    <t>Diretor of Operations</t>
  </si>
  <si>
    <t>kpowers@vistacollegeprep.org</t>
  </si>
  <si>
    <t>812 South 6th Ave.</t>
  </si>
  <si>
    <t>Vista College Preparatory</t>
  </si>
  <si>
    <t>Director of Operations</t>
  </si>
  <si>
    <t>Vista College Prep - Maryvale</t>
  </si>
  <si>
    <t>4520 W. McDowell Road</t>
  </si>
  <si>
    <t>StrengthBuilding Partners</t>
  </si>
  <si>
    <t>Clark-Raines</t>
  </si>
  <si>
    <t>Chief Operating Officer</t>
  </si>
  <si>
    <t>pamsuecr@gmail.com</t>
  </si>
  <si>
    <t>P.O. Box 91313</t>
  </si>
  <si>
    <t>100 W. 37th Street</t>
  </si>
  <si>
    <t>Las Puertas Community School</t>
  </si>
  <si>
    <t>Leon</t>
  </si>
  <si>
    <t>dleon@laspuertas.org</t>
  </si>
  <si>
    <t>P.O. BOX 91313</t>
  </si>
  <si>
    <t>Southwest Leadership Academy</t>
  </si>
  <si>
    <t>Nancey</t>
  </si>
  <si>
    <t>Education Compliance Manager</t>
  </si>
  <si>
    <t>nancey.carter@rop.com</t>
  </si>
  <si>
    <t>4301 W Fillmore St.</t>
  </si>
  <si>
    <t>Corporate Compliance Officer</t>
  </si>
  <si>
    <t>4301 W. Fillmore St.</t>
  </si>
  <si>
    <t>Rising Schools, Inc.</t>
  </si>
  <si>
    <t>Snyder</t>
  </si>
  <si>
    <t>melissa.snyder@risingschool.org</t>
  </si>
  <si>
    <t>7444 E Broadway Blvd</t>
  </si>
  <si>
    <t>The Rising School</t>
  </si>
  <si>
    <t>St. Ambrose Catholic School</t>
  </si>
  <si>
    <t>ysilva@stambrosetucson.org</t>
  </si>
  <si>
    <t>300 S. Tucson Blvd.</t>
  </si>
  <si>
    <t>4838 S. 2nd Street</t>
  </si>
  <si>
    <t>Reyes Maria Ruiz Leadership Academy</t>
  </si>
  <si>
    <t>4848 S. 2nd Street</t>
  </si>
  <si>
    <t>Phoenix Hebrew Academy</t>
  </si>
  <si>
    <t>Rachele</t>
  </si>
  <si>
    <t>Gondos</t>
  </si>
  <si>
    <t>rachele.phoenixhebrewacademy@gmail.com</t>
  </si>
  <si>
    <t>515 East Bethany Home Rd</t>
  </si>
  <si>
    <t>Create Academy</t>
  </si>
  <si>
    <t>Horn</t>
  </si>
  <si>
    <t>khorn@createacademy.org</t>
  </si>
  <si>
    <t>2645 N. 24th St.</t>
  </si>
  <si>
    <t>Noah Webster Schools-Pima</t>
  </si>
  <si>
    <t>5399 N. Pima Rd.</t>
  </si>
  <si>
    <t>Ethos Academy - A Challenge Foundation Academy</t>
  </si>
  <si>
    <t>Dena</t>
  </si>
  <si>
    <t>Spar</t>
  </si>
  <si>
    <t>Dean of Operations</t>
  </si>
  <si>
    <t>dspar@ethosacademy.school</t>
  </si>
  <si>
    <t>8840 N. 43rd. Avenue</t>
  </si>
  <si>
    <t>Ethos Academy- A Challenge Foundation Academy</t>
  </si>
  <si>
    <t>8840 N. 43rd Avenue</t>
  </si>
  <si>
    <t>Self Development Academy-Phoenix</t>
  </si>
  <si>
    <t>Asif</t>
  </si>
  <si>
    <t>Majeed</t>
  </si>
  <si>
    <t>asifmajeedk@yahoo.com</t>
  </si>
  <si>
    <t>1709 N Greenfield Rd</t>
  </si>
  <si>
    <t>1515 E Indian School Rd</t>
  </si>
  <si>
    <t>Innovative Humanities Education Corporation</t>
  </si>
  <si>
    <t>Townsend</t>
  </si>
  <si>
    <t>ryan.townsend@copperpointschools.org</t>
  </si>
  <si>
    <t>3902 N. Flowing Wells. Rd.</t>
  </si>
  <si>
    <t>Copper Point High School</t>
  </si>
  <si>
    <t>Our Mother of Sorrows Church</t>
  </si>
  <si>
    <t>Aydee</t>
  </si>
  <si>
    <t>NSLP Aid</t>
  </si>
  <si>
    <t>afelix@omosschool.com</t>
  </si>
  <si>
    <t>1800 S Kolb Rd</t>
  </si>
  <si>
    <t>Our Mother of Sorrows School</t>
  </si>
  <si>
    <t>Rosario</t>
  </si>
  <si>
    <t>rmoreno@omosschool.com</t>
  </si>
  <si>
    <t>Cove Day School</t>
  </si>
  <si>
    <t>Blanche</t>
  </si>
  <si>
    <t>Shorty</t>
  </si>
  <si>
    <t>School Cook Helper</t>
  </si>
  <si>
    <t>blanche.shorty@bie.edu</t>
  </si>
  <si>
    <t>Hwy 13, Route 33</t>
  </si>
  <si>
    <t>P.O. Box 2000</t>
  </si>
  <si>
    <t>Hwy13, Route 33</t>
  </si>
  <si>
    <t>T'iis Nazbas Community School</t>
  </si>
  <si>
    <t>Reid</t>
  </si>
  <si>
    <t>dorothy.reid@bie.edu</t>
  </si>
  <si>
    <t>PO Box 2002</t>
  </si>
  <si>
    <t>Highway 160 B.I.A. Route N5114</t>
  </si>
  <si>
    <t>Dorothy.Reid@bie.edu</t>
  </si>
  <si>
    <t>Highway 160 on N5114</t>
  </si>
  <si>
    <t>Little Singer Community School Board, Inc.</t>
  </si>
  <si>
    <t>Wagoner</t>
  </si>
  <si>
    <t>wagonershelly@yahoo.com</t>
  </si>
  <si>
    <t>P.O. Box AQ</t>
  </si>
  <si>
    <t>6 miles east of Birdspring Chapter</t>
  </si>
  <si>
    <t>Route 15</t>
  </si>
  <si>
    <t>Little Singer Community School</t>
  </si>
  <si>
    <t>dinegirl64@live.com</t>
  </si>
  <si>
    <t>Just All About You, Inc.</t>
  </si>
  <si>
    <t>Arbuckle</t>
  </si>
  <si>
    <t>justallaboutyou@gmail.com</t>
  </si>
  <si>
    <t>P.O. Box 11554</t>
  </si>
  <si>
    <t>201 E. Helena Drive</t>
  </si>
  <si>
    <t>Helena #1</t>
  </si>
  <si>
    <t>Dedrick</t>
  </si>
  <si>
    <t>308 E. Helena Drive</t>
  </si>
  <si>
    <t>Helena #2</t>
  </si>
  <si>
    <t>3201 W. Helena Dr.</t>
  </si>
  <si>
    <t>Helena #3</t>
  </si>
  <si>
    <t>Ashante</t>
  </si>
  <si>
    <t>3244 W. Helena Drive</t>
  </si>
  <si>
    <t>Helena #4</t>
  </si>
  <si>
    <t>17412 N. 34th Lane</t>
  </si>
  <si>
    <t>6633 W. Camelback Rd</t>
  </si>
  <si>
    <t>Academy of Math and Science Camelback</t>
  </si>
  <si>
    <t>Clint</t>
  </si>
  <si>
    <t>Keller</t>
  </si>
  <si>
    <t>ckeller@amscamelback.org</t>
  </si>
  <si>
    <t>Espiritu Schools</t>
  </si>
  <si>
    <t>AIM Higher College Prep Academy</t>
  </si>
  <si>
    <t>Feranndo</t>
  </si>
  <si>
    <t>Pensar Academy</t>
  </si>
  <si>
    <t>Gerry</t>
  </si>
  <si>
    <t>garcia@pensaracademy.org</t>
  </si>
  <si>
    <t>6135 North Black Canyon Highway</t>
  </si>
  <si>
    <t>duarte@pensaracademy.org</t>
  </si>
  <si>
    <t>Think Through Academy</t>
  </si>
  <si>
    <t>McGruder</t>
  </si>
  <si>
    <t>lmcgruder@ttahs.com</t>
  </si>
  <si>
    <t>3232 W. Thomas Rd.</t>
  </si>
  <si>
    <t>The Grande Innovation Academy</t>
  </si>
  <si>
    <t>Food Coordinator</t>
  </si>
  <si>
    <t>esanchez@giaowlsmail.com</t>
  </si>
  <si>
    <t>950 N. Peart Road</t>
  </si>
  <si>
    <t>The Grande Innovation</t>
  </si>
  <si>
    <t>950 N Peart Road</t>
  </si>
  <si>
    <t>Synergy Public School, Inc.</t>
  </si>
  <si>
    <t>McKinsey</t>
  </si>
  <si>
    <t>melissa.mckinsey@synergypublicschools.com</t>
  </si>
  <si>
    <t>2701 W. Bethany Home Rd</t>
  </si>
  <si>
    <t>Synergy Public School</t>
  </si>
  <si>
    <t>lori.weiss@synergypublicschools.com</t>
  </si>
  <si>
    <t>2701 W. Bethany Home Road</t>
  </si>
  <si>
    <t>Highland Prep</t>
  </si>
  <si>
    <t>dgeorge@madisonhighlandprep.org</t>
  </si>
  <si>
    <t>15600 W. Hearn Rd.</t>
  </si>
  <si>
    <t>Krystina</t>
  </si>
  <si>
    <t>Dimas</t>
  </si>
  <si>
    <t>krystinadimas@highlandprep.org</t>
  </si>
  <si>
    <t>Victory Collegiate Academy Corporation</t>
  </si>
  <si>
    <t>Sergio</t>
  </si>
  <si>
    <t>Admin Assistant</t>
  </si>
  <si>
    <t>schavez@victorycollegiateacademy.com</t>
  </si>
  <si>
    <t>3535 N 63rd Ave</t>
  </si>
  <si>
    <t>Victory Collegiate Academy</t>
  </si>
  <si>
    <t>3535 N. 63rd Ave</t>
  </si>
  <si>
    <t>Kaizen Education Foundation dba Colegio Petite Phoenix</t>
  </si>
  <si>
    <t>Colegio Petite Arizona</t>
  </si>
  <si>
    <t>claudia.alvarez@leonagroup.com</t>
  </si>
  <si>
    <t>850 N. Morley Ave</t>
  </si>
  <si>
    <t>Loretto School</t>
  </si>
  <si>
    <t>Sister Mary Aloysius</t>
  </si>
  <si>
    <t>Marques</t>
  </si>
  <si>
    <t>lorprincipal@live.com</t>
  </si>
  <si>
    <t>1200 14th St</t>
  </si>
  <si>
    <t>Magaly</t>
  </si>
  <si>
    <t>Volunteer</t>
  </si>
  <si>
    <t>mmoreno@lorettoschool.org</t>
  </si>
  <si>
    <t>BASIS Charter Schools, Inc.</t>
  </si>
  <si>
    <t>Elke</t>
  </si>
  <si>
    <t>Head of Operations</t>
  </si>
  <si>
    <t>elke.duncan@basised.com</t>
  </si>
  <si>
    <t>5700 S 19th Ave</t>
  </si>
  <si>
    <t>BASIS Phoenix South Primary</t>
  </si>
  <si>
    <t>5700 S. 19th Ave.</t>
  </si>
  <si>
    <t>Edison Project</t>
  </si>
  <si>
    <t>Edison</t>
  </si>
  <si>
    <t>Operations Director</t>
  </si>
  <si>
    <t>erose@edisonschoolaz.org</t>
  </si>
  <si>
    <t>8340 W Northern Ave</t>
  </si>
  <si>
    <t>Edison School of Innovation</t>
  </si>
  <si>
    <t>Legacy Traditional School - North Chandler</t>
  </si>
  <si>
    <t>Regional Food Service Manager</t>
  </si>
  <si>
    <t>brittany.hunt@vertexeducation.com</t>
  </si>
  <si>
    <t>3101 South Gilbert Rd</t>
  </si>
  <si>
    <t>1900 North McQueen Rd</t>
  </si>
  <si>
    <t>Legacy Traditional School - East Mesa</t>
  </si>
  <si>
    <t>10707 E Guadalupe Rd</t>
  </si>
  <si>
    <t>Desert Valley Christian School</t>
  </si>
  <si>
    <t>Hutzler</t>
  </si>
  <si>
    <t>Office Administrator</t>
  </si>
  <si>
    <t>susan.hutzler@gmail.com</t>
  </si>
  <si>
    <t>P O Box 13868</t>
  </si>
  <si>
    <t>1200 N Santa Rosa 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</si>
</sst>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325"/>
  <sheetViews>
    <sheetView tabSelected="1" topLeftCell="A10" workbookViewId="0"/>
  </sheetViews>
  <sheetFormatPr defaultRowHeight="15" x14ac:dyDescent="0.25"/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28" x14ac:dyDescent="0.25">
      <c r="A2">
        <v>4153</v>
      </c>
      <c r="B2" t="str">
        <f>"010201000"</f>
        <v>010201000</v>
      </c>
      <c r="C2" t="s">
        <v>28</v>
      </c>
      <c r="D2">
        <v>0</v>
      </c>
      <c r="E2" t="str">
        <f>""</f>
        <v/>
      </c>
      <c r="G2" t="s">
        <v>29</v>
      </c>
      <c r="H2" t="s">
        <v>30</v>
      </c>
      <c r="I2" t="s">
        <v>31</v>
      </c>
      <c r="J2" t="s">
        <v>32</v>
      </c>
      <c r="K2" t="str">
        <f>"9283373397"</f>
        <v>9283373397</v>
      </c>
      <c r="L2" t="str">
        <f>""</f>
        <v/>
      </c>
      <c r="M2" t="str">
        <f>""</f>
        <v/>
      </c>
      <c r="N2" t="str">
        <f>""</f>
        <v/>
      </c>
      <c r="O2" t="s">
        <v>33</v>
      </c>
      <c r="P2" t="s">
        <v>34</v>
      </c>
      <c r="R2" t="s">
        <v>35</v>
      </c>
      <c r="S2" t="s">
        <v>36</v>
      </c>
      <c r="T2" t="str">
        <f>"85936"</f>
        <v>85936</v>
      </c>
      <c r="U2" t="str">
        <f>""</f>
        <v/>
      </c>
      <c r="V2" t="s">
        <v>37</v>
      </c>
      <c r="W2" t="s">
        <v>38</v>
      </c>
      <c r="X2" t="s">
        <v>39</v>
      </c>
      <c r="Y2" t="s">
        <v>36</v>
      </c>
      <c r="Z2" t="str">
        <f>"85936"</f>
        <v>85936</v>
      </c>
      <c r="AA2" t="str">
        <f>""</f>
        <v/>
      </c>
      <c r="AB2" t="s">
        <v>40</v>
      </c>
    </row>
    <row r="3" spans="1:28" x14ac:dyDescent="0.25">
      <c r="A3">
        <v>4153</v>
      </c>
      <c r="B3" t="str">
        <f>"010201000"</f>
        <v>010201000</v>
      </c>
      <c r="C3" t="s">
        <v>28</v>
      </c>
      <c r="D3">
        <v>4517</v>
      </c>
      <c r="E3" t="str">
        <f>"010201102"</f>
        <v>010201102</v>
      </c>
      <c r="F3" t="s">
        <v>41</v>
      </c>
      <c r="G3" t="s">
        <v>42</v>
      </c>
      <c r="H3" t="s">
        <v>30</v>
      </c>
      <c r="I3" t="s">
        <v>31</v>
      </c>
      <c r="J3" t="s">
        <v>32</v>
      </c>
      <c r="K3" t="str">
        <f>"9283373397"</f>
        <v>9283373397</v>
      </c>
      <c r="L3" t="str">
        <f>""</f>
        <v/>
      </c>
      <c r="M3" t="str">
        <f>"9283372263"</f>
        <v>9283372263</v>
      </c>
      <c r="N3" t="str">
        <f>""</f>
        <v/>
      </c>
      <c r="O3" t="s">
        <v>33</v>
      </c>
      <c r="P3" t="s">
        <v>34</v>
      </c>
      <c r="R3" t="s">
        <v>35</v>
      </c>
      <c r="S3" t="s">
        <v>36</v>
      </c>
      <c r="T3" t="str">
        <f>"85936"</f>
        <v>85936</v>
      </c>
      <c r="U3" t="str">
        <f>""</f>
        <v/>
      </c>
      <c r="V3" t="s">
        <v>43</v>
      </c>
      <c r="X3" t="s">
        <v>39</v>
      </c>
      <c r="Y3" t="s">
        <v>36</v>
      </c>
      <c r="Z3" t="str">
        <f>"85936"</f>
        <v>85936</v>
      </c>
      <c r="AA3" t="str">
        <f>""</f>
        <v/>
      </c>
      <c r="AB3" t="s">
        <v>40</v>
      </c>
    </row>
    <row r="4" spans="1:28" x14ac:dyDescent="0.25">
      <c r="A4">
        <v>4153</v>
      </c>
      <c r="B4" t="str">
        <f>"010201000"</f>
        <v>010201000</v>
      </c>
      <c r="C4" t="s">
        <v>28</v>
      </c>
      <c r="D4">
        <v>4710</v>
      </c>
      <c r="E4" t="str">
        <f>"010201104"</f>
        <v>010201104</v>
      </c>
      <c r="F4" t="s">
        <v>44</v>
      </c>
      <c r="G4" t="s">
        <v>42</v>
      </c>
      <c r="H4" t="s">
        <v>30</v>
      </c>
      <c r="I4" t="s">
        <v>31</v>
      </c>
      <c r="J4" t="s">
        <v>32</v>
      </c>
      <c r="K4" t="str">
        <f>"9283373397"</f>
        <v>9283373397</v>
      </c>
      <c r="L4" t="str">
        <f>""</f>
        <v/>
      </c>
      <c r="M4" t="str">
        <f>"9283372263"</f>
        <v>9283372263</v>
      </c>
      <c r="N4" t="str">
        <f>""</f>
        <v/>
      </c>
      <c r="O4" t="s">
        <v>33</v>
      </c>
      <c r="P4" t="s">
        <v>34</v>
      </c>
      <c r="R4" t="s">
        <v>39</v>
      </c>
      <c r="S4" t="s">
        <v>36</v>
      </c>
      <c r="T4" t="str">
        <f>"85936"</f>
        <v>85936</v>
      </c>
      <c r="U4" t="str">
        <f>""</f>
        <v/>
      </c>
      <c r="V4" t="s">
        <v>45</v>
      </c>
      <c r="X4" t="s">
        <v>35</v>
      </c>
      <c r="Y4" t="s">
        <v>36</v>
      </c>
      <c r="Z4" t="str">
        <f>"85936"</f>
        <v>85936</v>
      </c>
      <c r="AA4" t="str">
        <f>""</f>
        <v/>
      </c>
      <c r="AB4" t="s">
        <v>40</v>
      </c>
    </row>
    <row r="5" spans="1:28" x14ac:dyDescent="0.25">
      <c r="A5">
        <v>4153</v>
      </c>
      <c r="B5" t="str">
        <f>"010201000"</f>
        <v>010201000</v>
      </c>
      <c r="C5" t="s">
        <v>28</v>
      </c>
      <c r="D5">
        <v>4711</v>
      </c>
      <c r="E5" t="str">
        <f>"010201205"</f>
        <v>010201205</v>
      </c>
      <c r="F5" t="s">
        <v>46</v>
      </c>
      <c r="G5" t="s">
        <v>42</v>
      </c>
      <c r="H5" t="s">
        <v>30</v>
      </c>
      <c r="I5" t="s">
        <v>31</v>
      </c>
      <c r="J5" t="s">
        <v>32</v>
      </c>
      <c r="K5" t="str">
        <f>"9283373397"</f>
        <v>9283373397</v>
      </c>
      <c r="L5" t="str">
        <f>""</f>
        <v/>
      </c>
      <c r="M5" t="str">
        <f>""</f>
        <v/>
      </c>
      <c r="N5" t="str">
        <f>""</f>
        <v/>
      </c>
      <c r="O5" t="s">
        <v>33</v>
      </c>
      <c r="P5" t="s">
        <v>34</v>
      </c>
      <c r="R5" t="s">
        <v>35</v>
      </c>
      <c r="S5" t="s">
        <v>36</v>
      </c>
      <c r="T5" t="str">
        <f>"85936"</f>
        <v>85936</v>
      </c>
      <c r="U5" t="str">
        <f>""</f>
        <v/>
      </c>
      <c r="V5" t="s">
        <v>47</v>
      </c>
      <c r="X5" t="s">
        <v>35</v>
      </c>
      <c r="Y5" t="s">
        <v>36</v>
      </c>
      <c r="Z5" t="str">
        <f>"85936"</f>
        <v>85936</v>
      </c>
      <c r="AA5" t="str">
        <f>""</f>
        <v/>
      </c>
      <c r="AB5" t="s">
        <v>40</v>
      </c>
    </row>
    <row r="6" spans="1:28" x14ac:dyDescent="0.25">
      <c r="A6">
        <v>4154</v>
      </c>
      <c r="B6" t="str">
        <f t="shared" ref="B6:B11" si="0">"010208000"</f>
        <v>010208000</v>
      </c>
      <c r="C6" t="s">
        <v>48</v>
      </c>
      <c r="D6">
        <v>0</v>
      </c>
      <c r="E6" t="str">
        <f>""</f>
        <v/>
      </c>
      <c r="G6" t="s">
        <v>29</v>
      </c>
      <c r="H6" t="s">
        <v>49</v>
      </c>
      <c r="I6" t="s">
        <v>50</v>
      </c>
      <c r="J6" t="s">
        <v>51</v>
      </c>
      <c r="K6" t="str">
        <f>"9287296713"</f>
        <v>9287296713</v>
      </c>
      <c r="L6" t="str">
        <f>""</f>
        <v/>
      </c>
      <c r="M6" t="str">
        <f>"9287296842"</f>
        <v>9287296842</v>
      </c>
      <c r="N6" t="str">
        <f>""</f>
        <v/>
      </c>
      <c r="O6" t="s">
        <v>52</v>
      </c>
      <c r="P6" t="s">
        <v>53</v>
      </c>
      <c r="R6" t="s">
        <v>54</v>
      </c>
      <c r="S6" t="s">
        <v>36</v>
      </c>
      <c r="T6" t="str">
        <f t="shared" ref="T6:T11" si="1">"86504"</f>
        <v>86504</v>
      </c>
      <c r="U6" t="str">
        <f>""</f>
        <v/>
      </c>
      <c r="V6" t="s">
        <v>55</v>
      </c>
      <c r="X6" t="s">
        <v>54</v>
      </c>
      <c r="Y6" t="s">
        <v>36</v>
      </c>
      <c r="Z6" t="str">
        <f>"86504"</f>
        <v>86504</v>
      </c>
      <c r="AA6" t="str">
        <f>""</f>
        <v/>
      </c>
      <c r="AB6" t="s">
        <v>56</v>
      </c>
    </row>
    <row r="7" spans="1:28" x14ac:dyDescent="0.25">
      <c r="A7">
        <v>4154</v>
      </c>
      <c r="B7" t="str">
        <f t="shared" si="0"/>
        <v>010208000</v>
      </c>
      <c r="C7" t="s">
        <v>48</v>
      </c>
      <c r="D7">
        <v>4714</v>
      </c>
      <c r="E7" t="str">
        <f>"010208110"</f>
        <v>010208110</v>
      </c>
      <c r="F7" t="s">
        <v>57</v>
      </c>
      <c r="G7" t="s">
        <v>42</v>
      </c>
      <c r="H7" t="s">
        <v>58</v>
      </c>
      <c r="I7" t="s">
        <v>59</v>
      </c>
      <c r="J7" t="s">
        <v>60</v>
      </c>
      <c r="K7" t="str">
        <f>"9287296816"</f>
        <v>9287296816</v>
      </c>
      <c r="L7" t="str">
        <f>""</f>
        <v/>
      </c>
      <c r="M7" t="str">
        <f>"9287297593"</f>
        <v>9287297593</v>
      </c>
      <c r="N7" t="str">
        <f>""</f>
        <v/>
      </c>
      <c r="O7" t="s">
        <v>61</v>
      </c>
      <c r="P7" t="s">
        <v>62</v>
      </c>
      <c r="R7" t="s">
        <v>54</v>
      </c>
      <c r="S7" t="s">
        <v>36</v>
      </c>
      <c r="T7" t="str">
        <f t="shared" si="1"/>
        <v>86504</v>
      </c>
      <c r="U7" t="str">
        <f>""</f>
        <v/>
      </c>
      <c r="V7" t="s">
        <v>63</v>
      </c>
      <c r="X7" t="s">
        <v>54</v>
      </c>
      <c r="Y7" t="s">
        <v>36</v>
      </c>
      <c r="Z7" t="str">
        <f>"86504"</f>
        <v>86504</v>
      </c>
      <c r="AA7" t="str">
        <f>""</f>
        <v/>
      </c>
      <c r="AB7" t="s">
        <v>56</v>
      </c>
    </row>
    <row r="8" spans="1:28" x14ac:dyDescent="0.25">
      <c r="A8">
        <v>4154</v>
      </c>
      <c r="B8" t="str">
        <f t="shared" si="0"/>
        <v>010208000</v>
      </c>
      <c r="C8" t="s">
        <v>48</v>
      </c>
      <c r="D8">
        <v>4715</v>
      </c>
      <c r="E8" t="str">
        <f>"010208112"</f>
        <v>010208112</v>
      </c>
      <c r="F8" t="s">
        <v>64</v>
      </c>
      <c r="G8" t="s">
        <v>42</v>
      </c>
      <c r="H8" t="s">
        <v>65</v>
      </c>
      <c r="I8" t="s">
        <v>66</v>
      </c>
      <c r="J8" t="s">
        <v>60</v>
      </c>
      <c r="K8" t="str">
        <f>"9287297813"</f>
        <v>9287297813</v>
      </c>
      <c r="L8" t="str">
        <f>""</f>
        <v/>
      </c>
      <c r="M8" t="str">
        <f>"9287296853"</f>
        <v>9287296853</v>
      </c>
      <c r="N8" t="str">
        <f>""</f>
        <v/>
      </c>
      <c r="O8" t="s">
        <v>61</v>
      </c>
      <c r="P8" t="s">
        <v>53</v>
      </c>
      <c r="R8" t="s">
        <v>54</v>
      </c>
      <c r="S8" t="s">
        <v>36</v>
      </c>
      <c r="T8" t="str">
        <f t="shared" si="1"/>
        <v>86504</v>
      </c>
      <c r="U8" t="str">
        <f>""</f>
        <v/>
      </c>
      <c r="V8" t="s">
        <v>55</v>
      </c>
      <c r="W8" t="s">
        <v>53</v>
      </c>
      <c r="X8" t="s">
        <v>54</v>
      </c>
      <c r="Y8" t="s">
        <v>36</v>
      </c>
      <c r="Z8" t="str">
        <f>"86504"</f>
        <v>86504</v>
      </c>
      <c r="AA8" t="str">
        <f>""</f>
        <v/>
      </c>
      <c r="AB8" t="s">
        <v>56</v>
      </c>
    </row>
    <row r="9" spans="1:28" x14ac:dyDescent="0.25">
      <c r="A9">
        <v>4154</v>
      </c>
      <c r="B9" t="str">
        <f t="shared" si="0"/>
        <v>010208000</v>
      </c>
      <c r="C9" t="s">
        <v>48</v>
      </c>
      <c r="D9">
        <v>4716</v>
      </c>
      <c r="E9" t="str">
        <f>"010208115"</f>
        <v>010208115</v>
      </c>
      <c r="F9" t="s">
        <v>67</v>
      </c>
      <c r="G9" t="s">
        <v>42</v>
      </c>
      <c r="H9" t="s">
        <v>58</v>
      </c>
      <c r="I9" t="s">
        <v>59</v>
      </c>
      <c r="J9" t="s">
        <v>60</v>
      </c>
      <c r="K9" t="str">
        <f>"9287296816"</f>
        <v>9287296816</v>
      </c>
      <c r="L9" t="str">
        <f>""</f>
        <v/>
      </c>
      <c r="M9" t="str">
        <f>"9287297593"</f>
        <v>9287297593</v>
      </c>
      <c r="N9" t="str">
        <f>""</f>
        <v/>
      </c>
      <c r="O9" t="s">
        <v>61</v>
      </c>
      <c r="P9" t="s">
        <v>53</v>
      </c>
      <c r="R9" t="s">
        <v>54</v>
      </c>
      <c r="S9" t="s">
        <v>36</v>
      </c>
      <c r="T9" t="str">
        <f t="shared" si="1"/>
        <v>86504</v>
      </c>
      <c r="U9" t="str">
        <f>""</f>
        <v/>
      </c>
      <c r="V9" t="s">
        <v>55</v>
      </c>
      <c r="W9" t="s">
        <v>53</v>
      </c>
      <c r="X9" t="s">
        <v>54</v>
      </c>
      <c r="Y9" t="s">
        <v>36</v>
      </c>
      <c r="Z9" t="str">
        <f>"86504"</f>
        <v>86504</v>
      </c>
      <c r="AA9" t="str">
        <f>""</f>
        <v/>
      </c>
      <c r="AB9" t="s">
        <v>56</v>
      </c>
    </row>
    <row r="10" spans="1:28" x14ac:dyDescent="0.25">
      <c r="A10">
        <v>4154</v>
      </c>
      <c r="B10" t="str">
        <f t="shared" si="0"/>
        <v>010208000</v>
      </c>
      <c r="C10" t="s">
        <v>48</v>
      </c>
      <c r="D10">
        <v>4717</v>
      </c>
      <c r="E10" t="str">
        <f>"010208201"</f>
        <v>010208201</v>
      </c>
      <c r="F10" t="s">
        <v>68</v>
      </c>
      <c r="G10" t="s">
        <v>42</v>
      </c>
      <c r="H10" t="s">
        <v>69</v>
      </c>
      <c r="I10" t="s">
        <v>70</v>
      </c>
      <c r="J10" t="s">
        <v>60</v>
      </c>
      <c r="K10" t="str">
        <f>"9287297022"</f>
        <v>9287297022</v>
      </c>
      <c r="L10" t="str">
        <f>""</f>
        <v/>
      </c>
      <c r="M10" t="str">
        <f>"9287296853"</f>
        <v>9287296853</v>
      </c>
      <c r="N10" t="str">
        <f>""</f>
        <v/>
      </c>
      <c r="O10" t="s">
        <v>61</v>
      </c>
      <c r="P10" t="s">
        <v>53</v>
      </c>
      <c r="R10" t="s">
        <v>54</v>
      </c>
      <c r="S10" t="s">
        <v>36</v>
      </c>
      <c r="T10" t="str">
        <f t="shared" si="1"/>
        <v>86504</v>
      </c>
      <c r="U10" t="str">
        <f>""</f>
        <v/>
      </c>
      <c r="V10" t="s">
        <v>71</v>
      </c>
      <c r="W10" t="s">
        <v>53</v>
      </c>
      <c r="X10" t="s">
        <v>54</v>
      </c>
      <c r="Y10" t="s">
        <v>36</v>
      </c>
      <c r="Z10" t="str">
        <f>"86504"</f>
        <v>86504</v>
      </c>
      <c r="AA10" t="str">
        <f>""</f>
        <v/>
      </c>
      <c r="AB10" t="s">
        <v>56</v>
      </c>
    </row>
    <row r="11" spans="1:28" x14ac:dyDescent="0.25">
      <c r="A11">
        <v>4154</v>
      </c>
      <c r="B11" t="str">
        <f t="shared" si="0"/>
        <v>010208000</v>
      </c>
      <c r="C11" t="s">
        <v>48</v>
      </c>
      <c r="D11">
        <v>85882</v>
      </c>
      <c r="E11" t="str">
        <f>"010208116"</f>
        <v>010208116</v>
      </c>
      <c r="F11" t="s">
        <v>72</v>
      </c>
      <c r="G11" t="s">
        <v>42</v>
      </c>
      <c r="H11" t="s">
        <v>73</v>
      </c>
      <c r="I11" t="s">
        <v>74</v>
      </c>
      <c r="J11" t="s">
        <v>60</v>
      </c>
      <c r="K11" t="str">
        <f>"9288107745"</f>
        <v>9288107745</v>
      </c>
      <c r="L11" t="str">
        <f>""</f>
        <v/>
      </c>
      <c r="M11" t="str">
        <f>"9287297593"</f>
        <v>9287297593</v>
      </c>
      <c r="N11" t="str">
        <f>""</f>
        <v/>
      </c>
      <c r="O11" t="s">
        <v>61</v>
      </c>
      <c r="P11" t="s">
        <v>53</v>
      </c>
      <c r="R11" t="s">
        <v>54</v>
      </c>
      <c r="S11" t="s">
        <v>36</v>
      </c>
      <c r="T11" t="str">
        <f t="shared" si="1"/>
        <v>86504</v>
      </c>
      <c r="U11" t="str">
        <f>""</f>
        <v/>
      </c>
      <c r="V11" t="s">
        <v>75</v>
      </c>
      <c r="X11" t="s">
        <v>76</v>
      </c>
      <c r="Y11" t="s">
        <v>36</v>
      </c>
      <c r="Z11" t="str">
        <f>"86515"</f>
        <v>86515</v>
      </c>
      <c r="AA11" t="str">
        <f>""</f>
        <v/>
      </c>
      <c r="AB11" t="s">
        <v>56</v>
      </c>
    </row>
    <row r="12" spans="1:28" x14ac:dyDescent="0.25">
      <c r="A12">
        <v>4155</v>
      </c>
      <c r="B12" t="str">
        <f>"010210000"</f>
        <v>010210000</v>
      </c>
      <c r="C12" t="s">
        <v>77</v>
      </c>
      <c r="D12">
        <v>0</v>
      </c>
      <c r="E12" t="str">
        <f>""</f>
        <v/>
      </c>
      <c r="G12" t="s">
        <v>29</v>
      </c>
      <c r="H12" t="s">
        <v>78</v>
      </c>
      <c r="I12" t="s">
        <v>79</v>
      </c>
      <c r="J12" t="s">
        <v>80</v>
      </c>
      <c r="K12" t="str">
        <f>"9283336572"</f>
        <v>9283336572</v>
      </c>
      <c r="L12" t="str">
        <f>""</f>
        <v/>
      </c>
      <c r="M12" t="str">
        <f>"9283332823"</f>
        <v>9283332823</v>
      </c>
      <c r="N12" t="str">
        <f>""</f>
        <v/>
      </c>
      <c r="O12" t="s">
        <v>81</v>
      </c>
      <c r="P12" t="s">
        <v>82</v>
      </c>
      <c r="R12" t="s">
        <v>83</v>
      </c>
      <c r="S12" t="s">
        <v>36</v>
      </c>
      <c r="T12" t="str">
        <f>"85938"</f>
        <v>85938</v>
      </c>
      <c r="U12" t="str">
        <f>""</f>
        <v/>
      </c>
      <c r="V12" t="s">
        <v>84</v>
      </c>
      <c r="X12" t="s">
        <v>85</v>
      </c>
      <c r="Y12" t="s">
        <v>36</v>
      </c>
      <c r="Z12" t="str">
        <f>"85938"</f>
        <v>85938</v>
      </c>
      <c r="AA12" t="str">
        <f>""</f>
        <v/>
      </c>
      <c r="AB12" t="s">
        <v>86</v>
      </c>
    </row>
    <row r="13" spans="1:28" x14ac:dyDescent="0.25">
      <c r="A13">
        <v>4155</v>
      </c>
      <c r="B13" t="str">
        <f>"010210000"</f>
        <v>010210000</v>
      </c>
      <c r="C13" t="s">
        <v>77</v>
      </c>
      <c r="D13">
        <v>4719</v>
      </c>
      <c r="E13" t="str">
        <f>"010210102"</f>
        <v>010210102</v>
      </c>
      <c r="F13" t="s">
        <v>87</v>
      </c>
      <c r="G13" t="s">
        <v>42</v>
      </c>
      <c r="H13" t="s">
        <v>88</v>
      </c>
      <c r="I13" t="s">
        <v>89</v>
      </c>
      <c r="J13" t="s">
        <v>32</v>
      </c>
      <c r="K13" t="str">
        <f>"9283336878"</f>
        <v>9283336878</v>
      </c>
      <c r="L13" t="str">
        <f>""</f>
        <v/>
      </c>
      <c r="M13" t="str">
        <f>"9283336885"</f>
        <v>9283336885</v>
      </c>
      <c r="N13" t="str">
        <f>""</f>
        <v/>
      </c>
      <c r="O13" t="s">
        <v>90</v>
      </c>
      <c r="P13" t="s">
        <v>91</v>
      </c>
      <c r="R13" t="s">
        <v>85</v>
      </c>
      <c r="S13" t="s">
        <v>36</v>
      </c>
      <c r="T13" t="str">
        <f>"85938"</f>
        <v>85938</v>
      </c>
      <c r="U13" t="str">
        <f>""</f>
        <v/>
      </c>
      <c r="V13" t="s">
        <v>92</v>
      </c>
      <c r="X13" t="s">
        <v>93</v>
      </c>
      <c r="Y13" t="s">
        <v>36</v>
      </c>
      <c r="Z13" t="str">
        <f>"85925"</f>
        <v>85925</v>
      </c>
      <c r="AA13" t="str">
        <f>""</f>
        <v/>
      </c>
      <c r="AB13" t="s">
        <v>86</v>
      </c>
    </row>
    <row r="14" spans="1:28" x14ac:dyDescent="0.25">
      <c r="A14">
        <v>4155</v>
      </c>
      <c r="B14" t="str">
        <f>"010210000"</f>
        <v>010210000</v>
      </c>
      <c r="C14" t="s">
        <v>77</v>
      </c>
      <c r="D14">
        <v>4720</v>
      </c>
      <c r="E14" t="str">
        <f>"010210103"</f>
        <v>010210103</v>
      </c>
      <c r="F14" t="s">
        <v>94</v>
      </c>
      <c r="G14" t="s">
        <v>42</v>
      </c>
      <c r="H14" t="s">
        <v>88</v>
      </c>
      <c r="I14" t="s">
        <v>89</v>
      </c>
      <c r="J14" t="s">
        <v>32</v>
      </c>
      <c r="K14" t="str">
        <f>"9283336878"</f>
        <v>9283336878</v>
      </c>
      <c r="L14" t="str">
        <f>""</f>
        <v/>
      </c>
      <c r="M14" t="str">
        <f>"9283336885"</f>
        <v>9283336885</v>
      </c>
      <c r="N14" t="str">
        <f>""</f>
        <v/>
      </c>
      <c r="O14" t="s">
        <v>90</v>
      </c>
      <c r="P14" t="s">
        <v>95</v>
      </c>
      <c r="R14" t="s">
        <v>85</v>
      </c>
      <c r="S14" t="s">
        <v>36</v>
      </c>
      <c r="T14" t="str">
        <f>"85938"</f>
        <v>85938</v>
      </c>
      <c r="U14" t="str">
        <f>""</f>
        <v/>
      </c>
      <c r="V14" t="s">
        <v>96</v>
      </c>
      <c r="X14" t="s">
        <v>93</v>
      </c>
      <c r="Y14" t="s">
        <v>36</v>
      </c>
      <c r="Z14" t="str">
        <f>"85925"</f>
        <v>85925</v>
      </c>
      <c r="AA14" t="str">
        <f>""</f>
        <v/>
      </c>
      <c r="AB14" t="s">
        <v>86</v>
      </c>
    </row>
    <row r="15" spans="1:28" x14ac:dyDescent="0.25">
      <c r="A15">
        <v>4155</v>
      </c>
      <c r="B15" t="str">
        <f>"010210000"</f>
        <v>010210000</v>
      </c>
      <c r="C15" t="s">
        <v>77</v>
      </c>
      <c r="D15">
        <v>4721</v>
      </c>
      <c r="E15" t="str">
        <f>"010210210"</f>
        <v>010210210</v>
      </c>
      <c r="F15" t="s">
        <v>97</v>
      </c>
      <c r="G15" t="s">
        <v>42</v>
      </c>
      <c r="H15" t="s">
        <v>88</v>
      </c>
      <c r="I15" t="s">
        <v>89</v>
      </c>
      <c r="J15" t="s">
        <v>32</v>
      </c>
      <c r="K15" t="str">
        <f>"9283336878"</f>
        <v>9283336878</v>
      </c>
      <c r="L15" t="str">
        <f>""</f>
        <v/>
      </c>
      <c r="M15" t="str">
        <f>"9283336885"</f>
        <v>9283336885</v>
      </c>
      <c r="N15" t="str">
        <f>""</f>
        <v/>
      </c>
      <c r="O15" t="s">
        <v>90</v>
      </c>
      <c r="P15" t="s">
        <v>91</v>
      </c>
      <c r="R15" t="s">
        <v>98</v>
      </c>
      <c r="S15" t="s">
        <v>36</v>
      </c>
      <c r="T15" t="str">
        <f>"85938"</f>
        <v>85938</v>
      </c>
      <c r="U15" t="str">
        <f>""</f>
        <v/>
      </c>
      <c r="V15">
        <v>550</v>
      </c>
      <c r="W15" t="s">
        <v>99</v>
      </c>
      <c r="X15" t="s">
        <v>93</v>
      </c>
      <c r="Y15" t="s">
        <v>36</v>
      </c>
      <c r="Z15" t="str">
        <f>"85925"</f>
        <v>85925</v>
      </c>
      <c r="AA15" t="str">
        <f>""</f>
        <v/>
      </c>
      <c r="AB15" t="s">
        <v>86</v>
      </c>
    </row>
    <row r="16" spans="1:28" x14ac:dyDescent="0.25">
      <c r="A16">
        <v>4156</v>
      </c>
      <c r="B16" t="str">
        <f>"010218000"</f>
        <v>010218000</v>
      </c>
      <c r="C16" t="s">
        <v>100</v>
      </c>
      <c r="D16">
        <v>0</v>
      </c>
      <c r="E16" t="str">
        <f>""</f>
        <v/>
      </c>
      <c r="G16" t="s">
        <v>29</v>
      </c>
      <c r="H16" t="s">
        <v>101</v>
      </c>
      <c r="I16" t="s">
        <v>102</v>
      </c>
      <c r="J16" t="s">
        <v>103</v>
      </c>
      <c r="K16" t="str">
        <f>"9286884764"</f>
        <v>9286884764</v>
      </c>
      <c r="L16" t="str">
        <f>""</f>
        <v/>
      </c>
      <c r="M16" t="str">
        <f>"9286884704"</f>
        <v>9286884704</v>
      </c>
      <c r="N16" t="str">
        <f>""</f>
        <v/>
      </c>
      <c r="O16" t="s">
        <v>104</v>
      </c>
      <c r="P16" t="s">
        <v>105</v>
      </c>
      <c r="R16" t="s">
        <v>106</v>
      </c>
      <c r="S16" t="s">
        <v>36</v>
      </c>
      <c r="T16" t="str">
        <f>"86512"</f>
        <v>86512</v>
      </c>
      <c r="U16" t="str">
        <f>"0250"</f>
        <v>0250</v>
      </c>
      <c r="V16" t="s">
        <v>107</v>
      </c>
      <c r="X16" t="s">
        <v>106</v>
      </c>
      <c r="Y16" t="s">
        <v>36</v>
      </c>
      <c r="Z16" t="str">
        <f>"86512"</f>
        <v>86512</v>
      </c>
      <c r="AA16" t="str">
        <f>""</f>
        <v/>
      </c>
      <c r="AB16" t="s">
        <v>56</v>
      </c>
    </row>
    <row r="17" spans="1:28" x14ac:dyDescent="0.25">
      <c r="A17">
        <v>4156</v>
      </c>
      <c r="B17" t="str">
        <f>"010218000"</f>
        <v>010218000</v>
      </c>
      <c r="C17" t="s">
        <v>100</v>
      </c>
      <c r="D17">
        <v>4722</v>
      </c>
      <c r="E17" t="str">
        <f>"010218001"</f>
        <v>010218001</v>
      </c>
      <c r="F17" t="s">
        <v>108</v>
      </c>
      <c r="G17" t="s">
        <v>42</v>
      </c>
      <c r="H17" t="s">
        <v>109</v>
      </c>
      <c r="I17" t="s">
        <v>110</v>
      </c>
      <c r="J17" t="s">
        <v>111</v>
      </c>
      <c r="K17" t="str">
        <f>"9286884703"</f>
        <v>9286884703</v>
      </c>
      <c r="L17" t="str">
        <f>""</f>
        <v/>
      </c>
      <c r="M17" t="str">
        <f>""</f>
        <v/>
      </c>
      <c r="N17" t="str">
        <f>""</f>
        <v/>
      </c>
      <c r="O17" t="s">
        <v>112</v>
      </c>
      <c r="P17" t="s">
        <v>105</v>
      </c>
      <c r="R17" t="s">
        <v>106</v>
      </c>
      <c r="S17" t="s">
        <v>36</v>
      </c>
      <c r="T17" t="str">
        <f>"86512"</f>
        <v>86512</v>
      </c>
      <c r="U17" t="str">
        <f>"0250"</f>
        <v>0250</v>
      </c>
      <c r="V17" t="s">
        <v>107</v>
      </c>
      <c r="X17" t="s">
        <v>106</v>
      </c>
      <c r="Y17" t="s">
        <v>36</v>
      </c>
      <c r="Z17" t="str">
        <f>"86512"</f>
        <v>86512</v>
      </c>
      <c r="AA17" t="str">
        <f>"0250"</f>
        <v>0250</v>
      </c>
      <c r="AB17" t="s">
        <v>56</v>
      </c>
    </row>
    <row r="18" spans="1:28" x14ac:dyDescent="0.25">
      <c r="A18">
        <v>4156</v>
      </c>
      <c r="B18" t="str">
        <f>"010218000"</f>
        <v>010218000</v>
      </c>
      <c r="C18" t="s">
        <v>100</v>
      </c>
      <c r="D18">
        <v>4723</v>
      </c>
      <c r="E18" t="str">
        <f>"010218002"</f>
        <v>010218002</v>
      </c>
      <c r="F18" t="s">
        <v>113</v>
      </c>
      <c r="G18" t="s">
        <v>42</v>
      </c>
      <c r="H18" t="s">
        <v>109</v>
      </c>
      <c r="I18" t="s">
        <v>110</v>
      </c>
      <c r="J18" t="s">
        <v>111</v>
      </c>
      <c r="K18" t="str">
        <f>"9286884703"</f>
        <v>9286884703</v>
      </c>
      <c r="L18" t="str">
        <f>""</f>
        <v/>
      </c>
      <c r="M18" t="str">
        <f>""</f>
        <v/>
      </c>
      <c r="N18" t="str">
        <f>""</f>
        <v/>
      </c>
      <c r="O18" t="s">
        <v>112</v>
      </c>
      <c r="P18" t="s">
        <v>105</v>
      </c>
      <c r="R18" t="s">
        <v>106</v>
      </c>
      <c r="S18" t="s">
        <v>36</v>
      </c>
      <c r="T18" t="str">
        <f>"86512"</f>
        <v>86512</v>
      </c>
      <c r="U18" t="str">
        <f>"0250"</f>
        <v>0250</v>
      </c>
      <c r="V18" t="s">
        <v>107</v>
      </c>
      <c r="X18" t="s">
        <v>106</v>
      </c>
      <c r="Y18" t="s">
        <v>36</v>
      </c>
      <c r="Z18" t="str">
        <f>"86512"</f>
        <v>86512</v>
      </c>
      <c r="AA18" t="str">
        <f>"0250"</f>
        <v>0250</v>
      </c>
      <c r="AB18" t="s">
        <v>56</v>
      </c>
    </row>
    <row r="19" spans="1:28" x14ac:dyDescent="0.25">
      <c r="A19">
        <v>4156</v>
      </c>
      <c r="B19" t="str">
        <f>"010218000"</f>
        <v>010218000</v>
      </c>
      <c r="C19" t="s">
        <v>100</v>
      </c>
      <c r="D19">
        <v>4724</v>
      </c>
      <c r="E19" t="str">
        <f>"010218003"</f>
        <v>010218003</v>
      </c>
      <c r="F19" t="s">
        <v>114</v>
      </c>
      <c r="G19" t="s">
        <v>42</v>
      </c>
      <c r="H19" t="s">
        <v>109</v>
      </c>
      <c r="I19" t="s">
        <v>110</v>
      </c>
      <c r="J19" t="s">
        <v>111</v>
      </c>
      <c r="K19" t="str">
        <f>"9286884703"</f>
        <v>9286884703</v>
      </c>
      <c r="L19" t="str">
        <f>""</f>
        <v/>
      </c>
      <c r="M19" t="str">
        <f>""</f>
        <v/>
      </c>
      <c r="N19" t="str">
        <f>""</f>
        <v/>
      </c>
      <c r="O19" t="s">
        <v>112</v>
      </c>
      <c r="P19" t="s">
        <v>105</v>
      </c>
      <c r="R19" t="s">
        <v>106</v>
      </c>
      <c r="S19" t="s">
        <v>36</v>
      </c>
      <c r="T19" t="str">
        <f>"86512"</f>
        <v>86512</v>
      </c>
      <c r="U19" t="str">
        <f>"0250"</f>
        <v>0250</v>
      </c>
      <c r="V19" t="s">
        <v>107</v>
      </c>
      <c r="X19" t="s">
        <v>106</v>
      </c>
      <c r="Y19" t="s">
        <v>36</v>
      </c>
      <c r="Z19" t="str">
        <f>"86512"</f>
        <v>86512</v>
      </c>
      <c r="AA19" t="str">
        <f>"0250"</f>
        <v>0250</v>
      </c>
      <c r="AB19" t="s">
        <v>56</v>
      </c>
    </row>
    <row r="20" spans="1:28" x14ac:dyDescent="0.25">
      <c r="A20">
        <v>4157</v>
      </c>
      <c r="B20" t="str">
        <f>"010220000"</f>
        <v>010220000</v>
      </c>
      <c r="C20" t="s">
        <v>115</v>
      </c>
      <c r="D20">
        <v>0</v>
      </c>
      <c r="E20" t="str">
        <f>""</f>
        <v/>
      </c>
      <c r="G20" t="s">
        <v>29</v>
      </c>
      <c r="H20" t="s">
        <v>116</v>
      </c>
      <c r="I20" t="s">
        <v>117</v>
      </c>
      <c r="J20" t="s">
        <v>118</v>
      </c>
      <c r="K20" t="str">
        <f>"9287551158"</f>
        <v>9287551158</v>
      </c>
      <c r="L20" t="str">
        <f>""</f>
        <v/>
      </c>
      <c r="M20" t="str">
        <f>"9287551535"</f>
        <v>9287551535</v>
      </c>
      <c r="N20" t="str">
        <f>""</f>
        <v/>
      </c>
      <c r="O20" t="s">
        <v>119</v>
      </c>
      <c r="P20" t="s">
        <v>120</v>
      </c>
      <c r="Q20" t="s">
        <v>121</v>
      </c>
      <c r="R20" t="s">
        <v>122</v>
      </c>
      <c r="S20" t="s">
        <v>36</v>
      </c>
      <c r="T20" t="str">
        <f>"86505"</f>
        <v>86505</v>
      </c>
      <c r="U20" t="str">
        <f>"1757"</f>
        <v>1757</v>
      </c>
      <c r="V20" t="s">
        <v>123</v>
      </c>
      <c r="X20" t="s">
        <v>122</v>
      </c>
      <c r="Y20" t="s">
        <v>36</v>
      </c>
      <c r="Z20" t="str">
        <f>"86505"</f>
        <v>86505</v>
      </c>
      <c r="AA20" t="str">
        <f>""</f>
        <v/>
      </c>
      <c r="AB20" t="s">
        <v>124</v>
      </c>
    </row>
    <row r="21" spans="1:28" x14ac:dyDescent="0.25">
      <c r="A21">
        <v>4157</v>
      </c>
      <c r="B21" t="str">
        <f>"010220000"</f>
        <v>010220000</v>
      </c>
      <c r="C21" t="s">
        <v>115</v>
      </c>
      <c r="D21">
        <v>4725</v>
      </c>
      <c r="E21" t="str">
        <f>"010220101"</f>
        <v>010220101</v>
      </c>
      <c r="F21" t="s">
        <v>125</v>
      </c>
      <c r="G21" t="s">
        <v>42</v>
      </c>
      <c r="H21" t="s">
        <v>116</v>
      </c>
      <c r="I21" t="s">
        <v>117</v>
      </c>
      <c r="J21" t="s">
        <v>118</v>
      </c>
      <c r="K21" t="str">
        <f>"9287551158"</f>
        <v>9287551158</v>
      </c>
      <c r="L21" t="str">
        <f>""</f>
        <v/>
      </c>
      <c r="M21" t="str">
        <f>"9287551535"</f>
        <v>9287551535</v>
      </c>
      <c r="N21" t="str">
        <f>""</f>
        <v/>
      </c>
      <c r="O21" t="s">
        <v>119</v>
      </c>
      <c r="P21" t="s">
        <v>120</v>
      </c>
      <c r="Q21" t="s">
        <v>121</v>
      </c>
      <c r="R21" t="s">
        <v>122</v>
      </c>
      <c r="S21" t="s">
        <v>36</v>
      </c>
      <c r="T21" t="str">
        <f>"86505"</f>
        <v>86505</v>
      </c>
      <c r="U21" t="str">
        <f>"1757"</f>
        <v>1757</v>
      </c>
      <c r="V21" t="s">
        <v>126</v>
      </c>
      <c r="X21" t="s">
        <v>122</v>
      </c>
      <c r="Y21" t="s">
        <v>36</v>
      </c>
      <c r="Z21" t="str">
        <f>"86505"</f>
        <v>86505</v>
      </c>
      <c r="AA21" t="str">
        <f>""</f>
        <v/>
      </c>
      <c r="AB21" t="s">
        <v>124</v>
      </c>
    </row>
    <row r="22" spans="1:28" x14ac:dyDescent="0.25">
      <c r="A22">
        <v>4157</v>
      </c>
      <c r="B22" t="str">
        <f>"010220000"</f>
        <v>010220000</v>
      </c>
      <c r="C22" t="s">
        <v>115</v>
      </c>
      <c r="D22">
        <v>4726</v>
      </c>
      <c r="E22" t="str">
        <f>"010220102"</f>
        <v>010220102</v>
      </c>
      <c r="F22" t="s">
        <v>127</v>
      </c>
      <c r="G22" t="s">
        <v>42</v>
      </c>
      <c r="H22" t="s">
        <v>116</v>
      </c>
      <c r="I22" t="s">
        <v>117</v>
      </c>
      <c r="J22" t="s">
        <v>118</v>
      </c>
      <c r="K22" t="str">
        <f>"9287551158"</f>
        <v>9287551158</v>
      </c>
      <c r="L22" t="str">
        <f>""</f>
        <v/>
      </c>
      <c r="M22" t="str">
        <f>"9287551535"</f>
        <v>9287551535</v>
      </c>
      <c r="N22" t="str">
        <f>""</f>
        <v/>
      </c>
      <c r="O22" t="s">
        <v>119</v>
      </c>
      <c r="P22" t="s">
        <v>128</v>
      </c>
      <c r="Q22" t="s">
        <v>120</v>
      </c>
      <c r="R22" t="s">
        <v>122</v>
      </c>
      <c r="S22" t="s">
        <v>36</v>
      </c>
      <c r="T22" t="str">
        <f>"86505"</f>
        <v>86505</v>
      </c>
      <c r="U22" t="str">
        <f>""</f>
        <v/>
      </c>
      <c r="V22" t="s">
        <v>128</v>
      </c>
      <c r="W22" t="s">
        <v>120</v>
      </c>
      <c r="X22" t="s">
        <v>122</v>
      </c>
      <c r="Y22" t="s">
        <v>36</v>
      </c>
      <c r="Z22" t="str">
        <f>"86505"</f>
        <v>86505</v>
      </c>
      <c r="AA22" t="str">
        <f>""</f>
        <v/>
      </c>
      <c r="AB22" t="s">
        <v>124</v>
      </c>
    </row>
    <row r="23" spans="1:28" x14ac:dyDescent="0.25">
      <c r="A23">
        <v>4157</v>
      </c>
      <c r="B23" t="str">
        <f>"010220000"</f>
        <v>010220000</v>
      </c>
      <c r="C23" t="s">
        <v>115</v>
      </c>
      <c r="D23">
        <v>4727</v>
      </c>
      <c r="E23" t="str">
        <f>"010220103"</f>
        <v>010220103</v>
      </c>
      <c r="F23" t="s">
        <v>129</v>
      </c>
      <c r="G23" t="s">
        <v>42</v>
      </c>
      <c r="H23" t="s">
        <v>116</v>
      </c>
      <c r="I23" t="s">
        <v>117</v>
      </c>
      <c r="J23" t="s">
        <v>118</v>
      </c>
      <c r="K23" t="str">
        <f>"9287551158"</f>
        <v>9287551158</v>
      </c>
      <c r="L23" t="str">
        <f>""</f>
        <v/>
      </c>
      <c r="M23" t="str">
        <f>"9287551502"</f>
        <v>9287551502</v>
      </c>
      <c r="N23" t="str">
        <f>""</f>
        <v/>
      </c>
      <c r="O23" t="s">
        <v>119</v>
      </c>
      <c r="P23" t="s">
        <v>120</v>
      </c>
      <c r="Q23" t="s">
        <v>115</v>
      </c>
      <c r="R23" t="s">
        <v>122</v>
      </c>
      <c r="S23" t="s">
        <v>36</v>
      </c>
      <c r="T23" t="str">
        <f>"86505"</f>
        <v>86505</v>
      </c>
      <c r="U23" t="str">
        <f>"1757"</f>
        <v>1757</v>
      </c>
      <c r="V23" t="s">
        <v>126</v>
      </c>
      <c r="X23" t="s">
        <v>122</v>
      </c>
      <c r="Y23" t="s">
        <v>36</v>
      </c>
      <c r="Z23" t="str">
        <f>"86505"</f>
        <v>86505</v>
      </c>
      <c r="AA23" t="str">
        <f>""</f>
        <v/>
      </c>
      <c r="AB23" t="s">
        <v>124</v>
      </c>
    </row>
    <row r="24" spans="1:28" x14ac:dyDescent="0.25">
      <c r="A24">
        <v>4157</v>
      </c>
      <c r="B24" t="str">
        <f>"010220000"</f>
        <v>010220000</v>
      </c>
      <c r="C24" t="s">
        <v>115</v>
      </c>
      <c r="D24">
        <v>4728</v>
      </c>
      <c r="E24" t="str">
        <f>"010220204"</f>
        <v>010220204</v>
      </c>
      <c r="F24" t="s">
        <v>130</v>
      </c>
      <c r="G24" t="s">
        <v>42</v>
      </c>
      <c r="H24" t="s">
        <v>116</v>
      </c>
      <c r="I24" t="s">
        <v>117</v>
      </c>
      <c r="J24" t="s">
        <v>118</v>
      </c>
      <c r="K24" t="str">
        <f>"9287551158"</f>
        <v>9287551158</v>
      </c>
      <c r="L24" t="str">
        <f>""</f>
        <v/>
      </c>
      <c r="M24" t="str">
        <f>"9287551535"</f>
        <v>9287551535</v>
      </c>
      <c r="N24" t="str">
        <f>""</f>
        <v/>
      </c>
      <c r="O24" t="s">
        <v>119</v>
      </c>
      <c r="P24" t="s">
        <v>120</v>
      </c>
      <c r="Q24" t="s">
        <v>121</v>
      </c>
      <c r="R24" t="s">
        <v>122</v>
      </c>
      <c r="S24" t="s">
        <v>36</v>
      </c>
      <c r="T24" t="str">
        <f>"86505"</f>
        <v>86505</v>
      </c>
      <c r="U24" t="str">
        <f>"1757"</f>
        <v>1757</v>
      </c>
      <c r="V24" t="s">
        <v>126</v>
      </c>
      <c r="X24" t="s">
        <v>122</v>
      </c>
      <c r="Y24" t="s">
        <v>36</v>
      </c>
      <c r="Z24" t="str">
        <f>"86505"</f>
        <v>86505</v>
      </c>
      <c r="AA24" t="str">
        <f>""</f>
        <v/>
      </c>
      <c r="AB24" t="s">
        <v>124</v>
      </c>
    </row>
    <row r="25" spans="1:28" x14ac:dyDescent="0.25">
      <c r="A25">
        <v>4158</v>
      </c>
      <c r="B25" t="str">
        <f t="shared" ref="B25:B32" si="2">"010224000"</f>
        <v>010224000</v>
      </c>
      <c r="C25" t="s">
        <v>131</v>
      </c>
      <c r="D25">
        <v>0</v>
      </c>
      <c r="E25" t="str">
        <f>""</f>
        <v/>
      </c>
      <c r="G25" t="s">
        <v>29</v>
      </c>
      <c r="H25" t="s">
        <v>132</v>
      </c>
      <c r="I25" t="s">
        <v>133</v>
      </c>
      <c r="J25" t="s">
        <v>134</v>
      </c>
      <c r="K25" t="str">
        <f t="shared" ref="K25:K32" si="3">"9286749632"</f>
        <v>9286749632</v>
      </c>
      <c r="L25" t="str">
        <f>""</f>
        <v/>
      </c>
      <c r="M25" t="str">
        <f t="shared" ref="M25:M32" si="4">"9286749646"</f>
        <v>9286749646</v>
      </c>
      <c r="N25" t="str">
        <f>""</f>
        <v/>
      </c>
      <c r="O25" t="s">
        <v>135</v>
      </c>
      <c r="P25" t="s">
        <v>136</v>
      </c>
      <c r="R25" t="s">
        <v>137</v>
      </c>
      <c r="S25" t="s">
        <v>36</v>
      </c>
      <c r="T25" t="str">
        <f t="shared" ref="T25:T32" si="5">"86503"</f>
        <v>86503</v>
      </c>
      <c r="U25" t="str">
        <f>"0587"</f>
        <v>0587</v>
      </c>
      <c r="V25" t="s">
        <v>138</v>
      </c>
      <c r="X25" t="s">
        <v>137</v>
      </c>
      <c r="Y25" t="s">
        <v>36</v>
      </c>
      <c r="Z25" t="str">
        <f t="shared" ref="Z25:Z32" si="6">"86503"</f>
        <v>86503</v>
      </c>
      <c r="AA25" t="str">
        <f>""</f>
        <v/>
      </c>
      <c r="AB25" t="s">
        <v>124</v>
      </c>
    </row>
    <row r="26" spans="1:28" x14ac:dyDescent="0.25">
      <c r="A26">
        <v>4158</v>
      </c>
      <c r="B26" t="str">
        <f t="shared" si="2"/>
        <v>010224000</v>
      </c>
      <c r="C26" t="s">
        <v>131</v>
      </c>
      <c r="D26">
        <v>4731</v>
      </c>
      <c r="E26" t="str">
        <f>"010224145"</f>
        <v>010224145</v>
      </c>
      <c r="F26" t="s">
        <v>139</v>
      </c>
      <c r="G26" t="s">
        <v>42</v>
      </c>
      <c r="H26" t="s">
        <v>132</v>
      </c>
      <c r="I26" t="s">
        <v>133</v>
      </c>
      <c r="J26" t="s">
        <v>134</v>
      </c>
      <c r="K26" t="str">
        <f t="shared" si="3"/>
        <v>9286749632</v>
      </c>
      <c r="L26" t="str">
        <f>""</f>
        <v/>
      </c>
      <c r="M26" t="str">
        <f t="shared" si="4"/>
        <v>9286749646</v>
      </c>
      <c r="N26" t="str">
        <f>""</f>
        <v/>
      </c>
      <c r="O26" t="s">
        <v>135</v>
      </c>
      <c r="P26" t="s">
        <v>136</v>
      </c>
      <c r="R26" t="s">
        <v>137</v>
      </c>
      <c r="S26" t="s">
        <v>36</v>
      </c>
      <c r="T26" t="str">
        <f t="shared" si="5"/>
        <v>86503</v>
      </c>
      <c r="U26" t="str">
        <f>""</f>
        <v/>
      </c>
      <c r="V26" t="s">
        <v>138</v>
      </c>
      <c r="X26" t="s">
        <v>137</v>
      </c>
      <c r="Y26" t="s">
        <v>36</v>
      </c>
      <c r="Z26" t="str">
        <f t="shared" si="6"/>
        <v>86503</v>
      </c>
      <c r="AA26" t="str">
        <f>""</f>
        <v/>
      </c>
      <c r="AB26" t="s">
        <v>124</v>
      </c>
    </row>
    <row r="27" spans="1:28" x14ac:dyDescent="0.25">
      <c r="A27">
        <v>4158</v>
      </c>
      <c r="B27" t="str">
        <f t="shared" si="2"/>
        <v>010224000</v>
      </c>
      <c r="C27" t="s">
        <v>131</v>
      </c>
      <c r="D27">
        <v>4732</v>
      </c>
      <c r="E27" t="str">
        <f>"010224150"</f>
        <v>010224150</v>
      </c>
      <c r="F27" t="s">
        <v>140</v>
      </c>
      <c r="G27" t="s">
        <v>42</v>
      </c>
      <c r="H27" t="s">
        <v>132</v>
      </c>
      <c r="I27" t="s">
        <v>133</v>
      </c>
      <c r="J27" t="s">
        <v>134</v>
      </c>
      <c r="K27" t="str">
        <f t="shared" si="3"/>
        <v>9286749632</v>
      </c>
      <c r="L27" t="str">
        <f>""</f>
        <v/>
      </c>
      <c r="M27" t="str">
        <f t="shared" si="4"/>
        <v>9286749646</v>
      </c>
      <c r="N27" t="str">
        <f>""</f>
        <v/>
      </c>
      <c r="O27" t="s">
        <v>135</v>
      </c>
      <c r="P27" t="s">
        <v>136</v>
      </c>
      <c r="R27" t="s">
        <v>137</v>
      </c>
      <c r="S27" t="s">
        <v>36</v>
      </c>
      <c r="T27" t="str">
        <f t="shared" si="5"/>
        <v>86503</v>
      </c>
      <c r="U27" t="str">
        <f>""</f>
        <v/>
      </c>
      <c r="V27" t="s">
        <v>138</v>
      </c>
      <c r="X27" t="s">
        <v>137</v>
      </c>
      <c r="Y27" t="s">
        <v>36</v>
      </c>
      <c r="Z27" t="str">
        <f t="shared" si="6"/>
        <v>86503</v>
      </c>
      <c r="AA27" t="str">
        <f>""</f>
        <v/>
      </c>
      <c r="AB27" t="s">
        <v>124</v>
      </c>
    </row>
    <row r="28" spans="1:28" x14ac:dyDescent="0.25">
      <c r="A28">
        <v>4158</v>
      </c>
      <c r="B28" t="str">
        <f t="shared" si="2"/>
        <v>010224000</v>
      </c>
      <c r="C28" t="s">
        <v>131</v>
      </c>
      <c r="D28">
        <v>4733</v>
      </c>
      <c r="E28" t="str">
        <f>"010224155"</f>
        <v>010224155</v>
      </c>
      <c r="F28" t="s">
        <v>141</v>
      </c>
      <c r="G28" t="s">
        <v>42</v>
      </c>
      <c r="H28" t="s">
        <v>132</v>
      </c>
      <c r="I28" t="s">
        <v>133</v>
      </c>
      <c r="J28" t="s">
        <v>134</v>
      </c>
      <c r="K28" t="str">
        <f t="shared" si="3"/>
        <v>9286749632</v>
      </c>
      <c r="L28" t="str">
        <f>""</f>
        <v/>
      </c>
      <c r="M28" t="str">
        <f t="shared" si="4"/>
        <v>9286749646</v>
      </c>
      <c r="N28" t="str">
        <f>""</f>
        <v/>
      </c>
      <c r="O28" t="s">
        <v>135</v>
      </c>
      <c r="P28" t="s">
        <v>136</v>
      </c>
      <c r="R28" t="s">
        <v>137</v>
      </c>
      <c r="S28" t="s">
        <v>36</v>
      </c>
      <c r="T28" t="str">
        <f t="shared" si="5"/>
        <v>86503</v>
      </c>
      <c r="U28" t="str">
        <f>""</f>
        <v/>
      </c>
      <c r="V28" t="s">
        <v>138</v>
      </c>
      <c r="X28" t="s">
        <v>137</v>
      </c>
      <c r="Y28" t="s">
        <v>36</v>
      </c>
      <c r="Z28" t="str">
        <f t="shared" si="6"/>
        <v>86503</v>
      </c>
      <c r="AA28" t="str">
        <f>""</f>
        <v/>
      </c>
      <c r="AB28" t="s">
        <v>124</v>
      </c>
    </row>
    <row r="29" spans="1:28" x14ac:dyDescent="0.25">
      <c r="A29">
        <v>4158</v>
      </c>
      <c r="B29" t="str">
        <f t="shared" si="2"/>
        <v>010224000</v>
      </c>
      <c r="C29" t="s">
        <v>131</v>
      </c>
      <c r="D29">
        <v>4734</v>
      </c>
      <c r="E29" t="str">
        <f>"010224160"</f>
        <v>010224160</v>
      </c>
      <c r="F29" t="s">
        <v>142</v>
      </c>
      <c r="G29" t="s">
        <v>42</v>
      </c>
      <c r="H29" t="s">
        <v>132</v>
      </c>
      <c r="I29" t="s">
        <v>133</v>
      </c>
      <c r="J29" t="s">
        <v>134</v>
      </c>
      <c r="K29" t="str">
        <f t="shared" si="3"/>
        <v>9286749632</v>
      </c>
      <c r="L29" t="str">
        <f>""</f>
        <v/>
      </c>
      <c r="M29" t="str">
        <f t="shared" si="4"/>
        <v>9286749646</v>
      </c>
      <c r="N29" t="str">
        <f>""</f>
        <v/>
      </c>
      <c r="O29" t="s">
        <v>135</v>
      </c>
      <c r="P29" t="s">
        <v>136</v>
      </c>
      <c r="R29" t="s">
        <v>137</v>
      </c>
      <c r="S29" t="s">
        <v>36</v>
      </c>
      <c r="T29" t="str">
        <f t="shared" si="5"/>
        <v>86503</v>
      </c>
      <c r="U29" t="str">
        <f>""</f>
        <v/>
      </c>
      <c r="V29" t="s">
        <v>143</v>
      </c>
      <c r="X29" t="s">
        <v>137</v>
      </c>
      <c r="Y29" t="s">
        <v>36</v>
      </c>
      <c r="Z29" t="str">
        <f t="shared" si="6"/>
        <v>86503</v>
      </c>
      <c r="AA29" t="str">
        <f>""</f>
        <v/>
      </c>
      <c r="AB29" t="s">
        <v>124</v>
      </c>
    </row>
    <row r="30" spans="1:28" x14ac:dyDescent="0.25">
      <c r="A30">
        <v>4158</v>
      </c>
      <c r="B30" t="str">
        <f t="shared" si="2"/>
        <v>010224000</v>
      </c>
      <c r="C30" t="s">
        <v>131</v>
      </c>
      <c r="D30">
        <v>4735</v>
      </c>
      <c r="E30" t="str">
        <f>"010224165"</f>
        <v>010224165</v>
      </c>
      <c r="F30" t="s">
        <v>144</v>
      </c>
      <c r="G30" t="s">
        <v>42</v>
      </c>
      <c r="H30" t="s">
        <v>132</v>
      </c>
      <c r="I30" t="s">
        <v>133</v>
      </c>
      <c r="J30" t="s">
        <v>134</v>
      </c>
      <c r="K30" t="str">
        <f t="shared" si="3"/>
        <v>9286749632</v>
      </c>
      <c r="L30" t="str">
        <f>""</f>
        <v/>
      </c>
      <c r="M30" t="str">
        <f t="shared" si="4"/>
        <v>9286749646</v>
      </c>
      <c r="N30" t="str">
        <f>""</f>
        <v/>
      </c>
      <c r="O30" t="s">
        <v>135</v>
      </c>
      <c r="P30" t="s">
        <v>136</v>
      </c>
      <c r="R30" t="s">
        <v>137</v>
      </c>
      <c r="S30" t="s">
        <v>36</v>
      </c>
      <c r="T30" t="str">
        <f t="shared" si="5"/>
        <v>86503</v>
      </c>
      <c r="U30" t="str">
        <f>""</f>
        <v/>
      </c>
      <c r="V30" t="s">
        <v>145</v>
      </c>
      <c r="X30" t="s">
        <v>137</v>
      </c>
      <c r="Y30" t="s">
        <v>36</v>
      </c>
      <c r="Z30" t="str">
        <f t="shared" si="6"/>
        <v>86503</v>
      </c>
      <c r="AA30" t="str">
        <f>""</f>
        <v/>
      </c>
      <c r="AB30" t="s">
        <v>124</v>
      </c>
    </row>
    <row r="31" spans="1:28" x14ac:dyDescent="0.25">
      <c r="A31">
        <v>4158</v>
      </c>
      <c r="B31" t="str">
        <f t="shared" si="2"/>
        <v>010224000</v>
      </c>
      <c r="C31" t="s">
        <v>131</v>
      </c>
      <c r="D31">
        <v>4736</v>
      </c>
      <c r="E31" t="str">
        <f>"010224170"</f>
        <v>010224170</v>
      </c>
      <c r="F31" t="s">
        <v>146</v>
      </c>
      <c r="G31" t="s">
        <v>42</v>
      </c>
      <c r="H31" t="s">
        <v>132</v>
      </c>
      <c r="I31" t="s">
        <v>133</v>
      </c>
      <c r="J31" t="s">
        <v>134</v>
      </c>
      <c r="K31" t="str">
        <f t="shared" si="3"/>
        <v>9286749632</v>
      </c>
      <c r="L31" t="str">
        <f>""</f>
        <v/>
      </c>
      <c r="M31" t="str">
        <f t="shared" si="4"/>
        <v>9286749646</v>
      </c>
      <c r="N31" t="str">
        <f>""</f>
        <v/>
      </c>
      <c r="O31" t="s">
        <v>135</v>
      </c>
      <c r="P31" t="s">
        <v>136</v>
      </c>
      <c r="R31" t="s">
        <v>137</v>
      </c>
      <c r="S31" t="s">
        <v>36</v>
      </c>
      <c r="T31" t="str">
        <f t="shared" si="5"/>
        <v>86503</v>
      </c>
      <c r="U31" t="str">
        <f>""</f>
        <v/>
      </c>
      <c r="V31" t="s">
        <v>138</v>
      </c>
      <c r="X31" t="s">
        <v>137</v>
      </c>
      <c r="Y31" t="s">
        <v>36</v>
      </c>
      <c r="Z31" t="str">
        <f t="shared" si="6"/>
        <v>86503</v>
      </c>
      <c r="AA31" t="str">
        <f>""</f>
        <v/>
      </c>
      <c r="AB31" t="s">
        <v>124</v>
      </c>
    </row>
    <row r="32" spans="1:28" x14ac:dyDescent="0.25">
      <c r="A32">
        <v>4158</v>
      </c>
      <c r="B32" t="str">
        <f t="shared" si="2"/>
        <v>010224000</v>
      </c>
      <c r="C32" t="s">
        <v>131</v>
      </c>
      <c r="D32">
        <v>4737</v>
      </c>
      <c r="E32" t="str">
        <f>"010224240"</f>
        <v>010224240</v>
      </c>
      <c r="F32" t="s">
        <v>147</v>
      </c>
      <c r="G32" t="s">
        <v>42</v>
      </c>
      <c r="H32" t="s">
        <v>132</v>
      </c>
      <c r="I32" t="s">
        <v>133</v>
      </c>
      <c r="J32" t="s">
        <v>134</v>
      </c>
      <c r="K32" t="str">
        <f t="shared" si="3"/>
        <v>9286749632</v>
      </c>
      <c r="L32" t="str">
        <f>""</f>
        <v/>
      </c>
      <c r="M32" t="str">
        <f t="shared" si="4"/>
        <v>9286749646</v>
      </c>
      <c r="N32" t="str">
        <f>""</f>
        <v/>
      </c>
      <c r="O32" t="s">
        <v>135</v>
      </c>
      <c r="P32" t="s">
        <v>136</v>
      </c>
      <c r="R32" t="s">
        <v>137</v>
      </c>
      <c r="S32" t="s">
        <v>36</v>
      </c>
      <c r="T32" t="str">
        <f t="shared" si="5"/>
        <v>86503</v>
      </c>
      <c r="U32" t="str">
        <f>""</f>
        <v/>
      </c>
      <c r="V32" t="s">
        <v>138</v>
      </c>
      <c r="X32" t="s">
        <v>137</v>
      </c>
      <c r="Y32" t="s">
        <v>36</v>
      </c>
      <c r="Z32" t="str">
        <f t="shared" si="6"/>
        <v>86503</v>
      </c>
      <c r="AA32" t="str">
        <f>""</f>
        <v/>
      </c>
      <c r="AB32" t="s">
        <v>124</v>
      </c>
    </row>
    <row r="33" spans="1:28" x14ac:dyDescent="0.25">
      <c r="A33">
        <v>4159</v>
      </c>
      <c r="B33" t="str">
        <f t="shared" ref="B33:B38" si="7">"010227000"</f>
        <v>010227000</v>
      </c>
      <c r="C33" t="s">
        <v>148</v>
      </c>
      <c r="D33">
        <v>0</v>
      </c>
      <c r="E33" t="str">
        <f>""</f>
        <v/>
      </c>
      <c r="G33" t="s">
        <v>29</v>
      </c>
      <c r="H33" t="s">
        <v>149</v>
      </c>
      <c r="I33" t="s">
        <v>150</v>
      </c>
      <c r="J33" t="s">
        <v>151</v>
      </c>
      <c r="K33" t="str">
        <f>"9286564112"</f>
        <v>9286564112</v>
      </c>
      <c r="L33" t="str">
        <f>""</f>
        <v/>
      </c>
      <c r="M33" t="str">
        <f>"9286564106"</f>
        <v>9286564106</v>
      </c>
      <c r="N33" t="str">
        <f>""</f>
        <v/>
      </c>
      <c r="O33" t="s">
        <v>152</v>
      </c>
      <c r="P33" t="s">
        <v>153</v>
      </c>
      <c r="Q33" t="s">
        <v>154</v>
      </c>
      <c r="R33" t="s">
        <v>155</v>
      </c>
      <c r="S33" t="s">
        <v>36</v>
      </c>
      <c r="T33" t="str">
        <f t="shared" ref="T33:T38" si="8">"86514"</f>
        <v>86514</v>
      </c>
      <c r="U33" t="str">
        <f t="shared" ref="U33:U38" si="9">"9701"</f>
        <v>9701</v>
      </c>
      <c r="V33" t="s">
        <v>153</v>
      </c>
      <c r="W33" t="s">
        <v>154</v>
      </c>
      <c r="X33" t="s">
        <v>155</v>
      </c>
      <c r="Y33" t="s">
        <v>36</v>
      </c>
      <c r="Z33" t="str">
        <f>"86514"</f>
        <v>86514</v>
      </c>
      <c r="AA33" t="str">
        <f t="shared" ref="AA33:AA38" si="10">"9701"</f>
        <v>9701</v>
      </c>
      <c r="AB33" t="s">
        <v>156</v>
      </c>
    </row>
    <row r="34" spans="1:28" x14ac:dyDescent="0.25">
      <c r="A34">
        <v>4159</v>
      </c>
      <c r="B34" t="str">
        <f t="shared" si="7"/>
        <v>010227000</v>
      </c>
      <c r="C34" t="s">
        <v>148</v>
      </c>
      <c r="D34">
        <v>4738</v>
      </c>
      <c r="E34" t="str">
        <f>"010227101"</f>
        <v>010227101</v>
      </c>
      <c r="F34" t="s">
        <v>157</v>
      </c>
      <c r="G34" t="s">
        <v>42</v>
      </c>
      <c r="H34" t="s">
        <v>158</v>
      </c>
      <c r="I34" t="s">
        <v>159</v>
      </c>
      <c r="J34" t="s">
        <v>160</v>
      </c>
      <c r="K34" t="str">
        <f>"9286564108"</f>
        <v>9286564108</v>
      </c>
      <c r="L34" t="str">
        <f>""</f>
        <v/>
      </c>
      <c r="M34" t="str">
        <f>"9286564302"</f>
        <v>9286564302</v>
      </c>
      <c r="N34" t="str">
        <f>""</f>
        <v/>
      </c>
      <c r="O34" t="s">
        <v>161</v>
      </c>
      <c r="P34" t="s">
        <v>162</v>
      </c>
      <c r="Q34" t="s">
        <v>163</v>
      </c>
      <c r="R34" t="s">
        <v>155</v>
      </c>
      <c r="S34" t="s">
        <v>36</v>
      </c>
      <c r="T34" t="str">
        <f t="shared" si="8"/>
        <v>86514</v>
      </c>
      <c r="U34" t="str">
        <f t="shared" si="9"/>
        <v>9701</v>
      </c>
      <c r="V34" t="s">
        <v>164</v>
      </c>
      <c r="X34" t="s">
        <v>155</v>
      </c>
      <c r="Y34" t="s">
        <v>36</v>
      </c>
      <c r="Z34" t="str">
        <f>"86514"</f>
        <v>86514</v>
      </c>
      <c r="AA34" t="str">
        <f t="shared" si="10"/>
        <v>9701</v>
      </c>
      <c r="AB34" t="s">
        <v>156</v>
      </c>
    </row>
    <row r="35" spans="1:28" x14ac:dyDescent="0.25">
      <c r="A35">
        <v>4159</v>
      </c>
      <c r="B35" t="str">
        <f t="shared" si="7"/>
        <v>010227000</v>
      </c>
      <c r="C35" t="s">
        <v>148</v>
      </c>
      <c r="D35">
        <v>4739</v>
      </c>
      <c r="E35" t="str">
        <f>"010227102"</f>
        <v>010227102</v>
      </c>
      <c r="F35" t="s">
        <v>165</v>
      </c>
      <c r="G35" t="s">
        <v>42</v>
      </c>
      <c r="H35" t="s">
        <v>166</v>
      </c>
      <c r="I35" t="s">
        <v>167</v>
      </c>
      <c r="J35" t="s">
        <v>160</v>
      </c>
      <c r="K35" t="str">
        <f>"9287874522"</f>
        <v>9287874522</v>
      </c>
      <c r="L35" t="str">
        <f>""</f>
        <v/>
      </c>
      <c r="M35" t="str">
        <f>"9287874500"</f>
        <v>9287874500</v>
      </c>
      <c r="N35" t="str">
        <f>""</f>
        <v/>
      </c>
      <c r="O35" t="s">
        <v>168</v>
      </c>
      <c r="P35" t="s">
        <v>169</v>
      </c>
      <c r="Q35" t="s">
        <v>163</v>
      </c>
      <c r="R35" t="s">
        <v>155</v>
      </c>
      <c r="S35" t="s">
        <v>36</v>
      </c>
      <c r="T35" t="str">
        <f t="shared" si="8"/>
        <v>86514</v>
      </c>
      <c r="U35" t="str">
        <f t="shared" si="9"/>
        <v>9701</v>
      </c>
      <c r="V35" t="s">
        <v>170</v>
      </c>
      <c r="X35" t="s">
        <v>171</v>
      </c>
      <c r="Y35" t="s">
        <v>36</v>
      </c>
      <c r="Z35" t="str">
        <f>"86547"</f>
        <v>86547</v>
      </c>
      <c r="AA35" t="str">
        <f t="shared" si="10"/>
        <v>9701</v>
      </c>
      <c r="AB35" t="s">
        <v>156</v>
      </c>
    </row>
    <row r="36" spans="1:28" x14ac:dyDescent="0.25">
      <c r="A36">
        <v>4159</v>
      </c>
      <c r="B36" t="str">
        <f t="shared" si="7"/>
        <v>010227000</v>
      </c>
      <c r="C36" t="s">
        <v>148</v>
      </c>
      <c r="D36">
        <v>4740</v>
      </c>
      <c r="E36" t="str">
        <f>"010227103"</f>
        <v>010227103</v>
      </c>
      <c r="F36" t="s">
        <v>172</v>
      </c>
      <c r="G36" t="s">
        <v>42</v>
      </c>
      <c r="H36" t="s">
        <v>158</v>
      </c>
      <c r="I36" t="s">
        <v>159</v>
      </c>
      <c r="J36" t="s">
        <v>160</v>
      </c>
      <c r="K36" t="str">
        <f>"9286564108"</f>
        <v>9286564108</v>
      </c>
      <c r="L36" t="str">
        <f>""</f>
        <v/>
      </c>
      <c r="M36" t="str">
        <f>"9286564302"</f>
        <v>9286564302</v>
      </c>
      <c r="N36" t="str">
        <f>""</f>
        <v/>
      </c>
      <c r="O36" t="s">
        <v>161</v>
      </c>
      <c r="P36" t="s">
        <v>162</v>
      </c>
      <c r="Q36" t="s">
        <v>173</v>
      </c>
      <c r="R36" t="s">
        <v>174</v>
      </c>
      <c r="S36" t="s">
        <v>36</v>
      </c>
      <c r="T36" t="str">
        <f t="shared" si="8"/>
        <v>86514</v>
      </c>
      <c r="U36" t="str">
        <f t="shared" si="9"/>
        <v>9701</v>
      </c>
      <c r="V36" t="s">
        <v>175</v>
      </c>
      <c r="X36" t="s">
        <v>174</v>
      </c>
      <c r="Y36" t="s">
        <v>36</v>
      </c>
      <c r="Z36" t="str">
        <f>"86514"</f>
        <v>86514</v>
      </c>
      <c r="AA36" t="str">
        <f t="shared" si="10"/>
        <v>9701</v>
      </c>
      <c r="AB36" t="s">
        <v>156</v>
      </c>
    </row>
    <row r="37" spans="1:28" x14ac:dyDescent="0.25">
      <c r="A37">
        <v>4159</v>
      </c>
      <c r="B37" t="str">
        <f t="shared" si="7"/>
        <v>010227000</v>
      </c>
      <c r="C37" t="s">
        <v>148</v>
      </c>
      <c r="D37">
        <v>4741</v>
      </c>
      <c r="E37" t="str">
        <f>"010227204"</f>
        <v>010227204</v>
      </c>
      <c r="F37" t="s">
        <v>176</v>
      </c>
      <c r="G37" t="s">
        <v>42</v>
      </c>
      <c r="H37" t="s">
        <v>158</v>
      </c>
      <c r="I37" t="s">
        <v>159</v>
      </c>
      <c r="J37" t="s">
        <v>160</v>
      </c>
      <c r="K37" t="str">
        <f>"9286564108"</f>
        <v>9286564108</v>
      </c>
      <c r="L37" t="str">
        <f>""</f>
        <v/>
      </c>
      <c r="M37" t="str">
        <f>"9286564302"</f>
        <v>9286564302</v>
      </c>
      <c r="N37" t="str">
        <f>""</f>
        <v/>
      </c>
      <c r="O37" t="s">
        <v>161</v>
      </c>
      <c r="P37" t="s">
        <v>169</v>
      </c>
      <c r="Q37" t="s">
        <v>177</v>
      </c>
      <c r="R37" t="s">
        <v>155</v>
      </c>
      <c r="S37" t="s">
        <v>36</v>
      </c>
      <c r="T37" t="str">
        <f t="shared" si="8"/>
        <v>86514</v>
      </c>
      <c r="U37" t="str">
        <f t="shared" si="9"/>
        <v>9701</v>
      </c>
      <c r="V37" t="s">
        <v>175</v>
      </c>
      <c r="X37" t="s">
        <v>155</v>
      </c>
      <c r="Y37" t="s">
        <v>36</v>
      </c>
      <c r="Z37" t="str">
        <f>"86514"</f>
        <v>86514</v>
      </c>
      <c r="AA37" t="str">
        <f t="shared" si="10"/>
        <v>9701</v>
      </c>
      <c r="AB37" t="s">
        <v>156</v>
      </c>
    </row>
    <row r="38" spans="1:28" x14ac:dyDescent="0.25">
      <c r="A38">
        <v>4159</v>
      </c>
      <c r="B38" t="str">
        <f t="shared" si="7"/>
        <v>010227000</v>
      </c>
      <c r="C38" t="s">
        <v>148</v>
      </c>
      <c r="D38">
        <v>88386</v>
      </c>
      <c r="E38" t="str">
        <f>"010227205"</f>
        <v>010227205</v>
      </c>
      <c r="F38" t="s">
        <v>178</v>
      </c>
      <c r="G38" t="s">
        <v>42</v>
      </c>
      <c r="H38" t="s">
        <v>179</v>
      </c>
      <c r="I38" t="s">
        <v>180</v>
      </c>
      <c r="J38" t="s">
        <v>181</v>
      </c>
      <c r="K38" t="str">
        <f>"9286534202"</f>
        <v>9286534202</v>
      </c>
      <c r="L38" t="str">
        <f>""</f>
        <v/>
      </c>
      <c r="M38" t="str">
        <f>"9286534204"</f>
        <v>9286534204</v>
      </c>
      <c r="N38" t="str">
        <f>""</f>
        <v/>
      </c>
      <c r="O38" t="s">
        <v>168</v>
      </c>
      <c r="P38" t="s">
        <v>162</v>
      </c>
      <c r="Q38" t="s">
        <v>173</v>
      </c>
      <c r="R38" t="s">
        <v>155</v>
      </c>
      <c r="S38" t="s">
        <v>36</v>
      </c>
      <c r="T38" t="str">
        <f t="shared" si="8"/>
        <v>86514</v>
      </c>
      <c r="U38" t="str">
        <f t="shared" si="9"/>
        <v>9701</v>
      </c>
      <c r="V38" t="s">
        <v>182</v>
      </c>
      <c r="X38" t="s">
        <v>183</v>
      </c>
      <c r="Y38" t="s">
        <v>36</v>
      </c>
      <c r="Z38" t="str">
        <f>"86544"</f>
        <v>86544</v>
      </c>
      <c r="AA38" t="str">
        <f t="shared" si="10"/>
        <v>9701</v>
      </c>
      <c r="AB38" t="s">
        <v>156</v>
      </c>
    </row>
    <row r="39" spans="1:28" x14ac:dyDescent="0.25">
      <c r="A39">
        <v>4160</v>
      </c>
      <c r="B39" t="str">
        <f>"010306000"</f>
        <v>010306000</v>
      </c>
      <c r="C39" t="s">
        <v>184</v>
      </c>
      <c r="D39">
        <v>0</v>
      </c>
      <c r="E39" t="str">
        <f>""</f>
        <v/>
      </c>
      <c r="G39" t="s">
        <v>29</v>
      </c>
      <c r="H39" t="s">
        <v>185</v>
      </c>
      <c r="I39" t="s">
        <v>186</v>
      </c>
      <c r="J39" t="s">
        <v>134</v>
      </c>
      <c r="K39" t="str">
        <f>"9283379356"</f>
        <v>9283379356</v>
      </c>
      <c r="L39" t="str">
        <f>""</f>
        <v/>
      </c>
      <c r="M39" t="str">
        <f>"9283372455"</f>
        <v>9283372455</v>
      </c>
      <c r="N39" t="str">
        <f>""</f>
        <v/>
      </c>
      <c r="O39" t="s">
        <v>187</v>
      </c>
      <c r="P39" t="s">
        <v>188</v>
      </c>
      <c r="R39" t="s">
        <v>189</v>
      </c>
      <c r="S39" t="s">
        <v>36</v>
      </c>
      <c r="T39" t="str">
        <f>"85924"</f>
        <v>85924</v>
      </c>
      <c r="U39" t="str">
        <f>"0200"</f>
        <v>0200</v>
      </c>
      <c r="V39" t="s">
        <v>190</v>
      </c>
      <c r="W39" t="s">
        <v>191</v>
      </c>
      <c r="X39" t="s">
        <v>189</v>
      </c>
      <c r="Y39" t="s">
        <v>36</v>
      </c>
      <c r="Z39" t="str">
        <f>"85924"</f>
        <v>85924</v>
      </c>
      <c r="AA39" t="str">
        <f>"0200"</f>
        <v>0200</v>
      </c>
      <c r="AB39" t="s">
        <v>40</v>
      </c>
    </row>
    <row r="40" spans="1:28" x14ac:dyDescent="0.25">
      <c r="A40">
        <v>4160</v>
      </c>
      <c r="B40" t="str">
        <f>"010306000"</f>
        <v>010306000</v>
      </c>
      <c r="C40" t="s">
        <v>184</v>
      </c>
      <c r="D40">
        <v>4742</v>
      </c>
      <c r="E40" t="str">
        <f>"010306101"</f>
        <v>010306101</v>
      </c>
      <c r="F40" t="s">
        <v>192</v>
      </c>
      <c r="G40" t="s">
        <v>42</v>
      </c>
      <c r="H40" t="s">
        <v>193</v>
      </c>
      <c r="I40" t="s">
        <v>194</v>
      </c>
      <c r="J40" t="s">
        <v>195</v>
      </c>
      <c r="K40" t="str">
        <f>"9283374665"</f>
        <v>9283374665</v>
      </c>
      <c r="L40" t="str">
        <f>"311"</f>
        <v>311</v>
      </c>
      <c r="M40" t="str">
        <f>"9283372455"</f>
        <v>9283372455</v>
      </c>
      <c r="N40" t="str">
        <f>""</f>
        <v/>
      </c>
      <c r="O40" t="s">
        <v>196</v>
      </c>
      <c r="P40" t="s">
        <v>197</v>
      </c>
      <c r="R40" t="s">
        <v>189</v>
      </c>
      <c r="S40" t="s">
        <v>36</v>
      </c>
      <c r="T40" t="str">
        <f>"85924"</f>
        <v>85924</v>
      </c>
      <c r="U40" t="str">
        <f>"0200"</f>
        <v>0200</v>
      </c>
      <c r="V40" t="s">
        <v>198</v>
      </c>
      <c r="X40" t="s">
        <v>189</v>
      </c>
      <c r="Y40" t="s">
        <v>36</v>
      </c>
      <c r="Z40" t="str">
        <f>"85924"</f>
        <v>85924</v>
      </c>
      <c r="AA40" t="str">
        <f>"0200"</f>
        <v>0200</v>
      </c>
      <c r="AB40" t="s">
        <v>40</v>
      </c>
    </row>
    <row r="41" spans="1:28" x14ac:dyDescent="0.25">
      <c r="A41">
        <v>4162</v>
      </c>
      <c r="B41" t="str">
        <f>"010309000"</f>
        <v>010309000</v>
      </c>
      <c r="C41" t="s">
        <v>199</v>
      </c>
      <c r="D41">
        <v>0</v>
      </c>
      <c r="E41" t="str">
        <f>""</f>
        <v/>
      </c>
      <c r="G41" t="s">
        <v>29</v>
      </c>
      <c r="H41" t="s">
        <v>200</v>
      </c>
      <c r="I41" t="s">
        <v>201</v>
      </c>
      <c r="J41" t="s">
        <v>202</v>
      </c>
      <c r="K41" t="str">
        <f>"9285375463"</f>
        <v>9285375463</v>
      </c>
      <c r="L41" t="str">
        <f>""</f>
        <v/>
      </c>
      <c r="M41" t="str">
        <f>""</f>
        <v/>
      </c>
      <c r="N41" t="str">
        <f>""</f>
        <v/>
      </c>
      <c r="O41" t="s">
        <v>203</v>
      </c>
      <c r="P41" t="s">
        <v>204</v>
      </c>
      <c r="R41" t="s">
        <v>205</v>
      </c>
      <c r="S41" t="s">
        <v>36</v>
      </c>
      <c r="T41" t="str">
        <f>"85940"</f>
        <v>85940</v>
      </c>
      <c r="U41" t="str">
        <f>"0089"</f>
        <v>0089</v>
      </c>
      <c r="V41" t="s">
        <v>206</v>
      </c>
      <c r="X41" t="s">
        <v>205</v>
      </c>
      <c r="Y41" t="s">
        <v>36</v>
      </c>
      <c r="Z41" t="str">
        <f>"85940"</f>
        <v>85940</v>
      </c>
      <c r="AA41" t="str">
        <f>"0089"</f>
        <v>0089</v>
      </c>
      <c r="AB41" t="s">
        <v>124</v>
      </c>
    </row>
    <row r="42" spans="1:28" x14ac:dyDescent="0.25">
      <c r="A42">
        <v>4162</v>
      </c>
      <c r="B42" t="str">
        <f>"010309000"</f>
        <v>010309000</v>
      </c>
      <c r="C42" t="s">
        <v>199</v>
      </c>
      <c r="D42">
        <v>4744</v>
      </c>
      <c r="E42" t="str">
        <f>"010309101"</f>
        <v>010309101</v>
      </c>
      <c r="F42" t="s">
        <v>207</v>
      </c>
      <c r="G42" t="s">
        <v>42</v>
      </c>
      <c r="H42" t="s">
        <v>200</v>
      </c>
      <c r="I42" t="s">
        <v>201</v>
      </c>
      <c r="J42" t="s">
        <v>208</v>
      </c>
      <c r="K42" t="str">
        <f>"9285375463"</f>
        <v>9285375463</v>
      </c>
      <c r="L42" t="str">
        <f>""</f>
        <v/>
      </c>
      <c r="M42" t="str">
        <f>"9285371820"</f>
        <v>9285371820</v>
      </c>
      <c r="N42" t="str">
        <f>""</f>
        <v/>
      </c>
      <c r="O42" t="s">
        <v>203</v>
      </c>
      <c r="P42" t="s">
        <v>204</v>
      </c>
      <c r="R42" t="s">
        <v>205</v>
      </c>
      <c r="S42" t="s">
        <v>36</v>
      </c>
      <c r="T42" t="str">
        <f>"85940"</f>
        <v>85940</v>
      </c>
      <c r="U42" t="str">
        <f>"0089"</f>
        <v>0089</v>
      </c>
      <c r="V42" t="s">
        <v>206</v>
      </c>
      <c r="X42" t="s">
        <v>205</v>
      </c>
      <c r="Y42" t="s">
        <v>36</v>
      </c>
      <c r="Z42" t="str">
        <f>"85940"</f>
        <v>85940</v>
      </c>
      <c r="AA42" t="str">
        <f>"0089"</f>
        <v>0089</v>
      </c>
      <c r="AB42" t="s">
        <v>124</v>
      </c>
    </row>
    <row r="43" spans="1:28" x14ac:dyDescent="0.25">
      <c r="A43">
        <v>4163</v>
      </c>
      <c r="B43" t="str">
        <f>"010323000"</f>
        <v>010323000</v>
      </c>
      <c r="C43" t="s">
        <v>209</v>
      </c>
      <c r="D43">
        <v>0</v>
      </c>
      <c r="E43" t="str">
        <f>""</f>
        <v/>
      </c>
      <c r="G43" t="s">
        <v>29</v>
      </c>
      <c r="H43" t="s">
        <v>210</v>
      </c>
      <c r="I43" t="s">
        <v>211</v>
      </c>
      <c r="J43" t="s">
        <v>212</v>
      </c>
      <c r="K43" t="str">
        <f>"9283342293"</f>
        <v>9283342293</v>
      </c>
      <c r="L43" t="str">
        <f>"1107"</f>
        <v>1107</v>
      </c>
      <c r="M43" t="str">
        <f>"9283342336"</f>
        <v>9283342336</v>
      </c>
      <c r="N43" t="str">
        <f>""</f>
        <v/>
      </c>
      <c r="O43" t="s">
        <v>213</v>
      </c>
      <c r="P43" t="s">
        <v>214</v>
      </c>
      <c r="R43" t="s">
        <v>215</v>
      </c>
      <c r="S43" t="s">
        <v>36</v>
      </c>
      <c r="T43" t="str">
        <f>"85930"</f>
        <v>85930</v>
      </c>
      <c r="U43" t="str">
        <f>""</f>
        <v/>
      </c>
      <c r="V43" t="s">
        <v>216</v>
      </c>
      <c r="X43" t="s">
        <v>215</v>
      </c>
      <c r="Y43" t="s">
        <v>36</v>
      </c>
      <c r="Z43" t="str">
        <f>"85930"</f>
        <v>85930</v>
      </c>
      <c r="AA43" t="str">
        <f>""</f>
        <v/>
      </c>
      <c r="AB43" t="s">
        <v>217</v>
      </c>
    </row>
    <row r="44" spans="1:28" x14ac:dyDescent="0.25">
      <c r="A44">
        <v>4163</v>
      </c>
      <c r="B44" t="str">
        <f>"010323000"</f>
        <v>010323000</v>
      </c>
      <c r="C44" t="s">
        <v>209</v>
      </c>
      <c r="D44">
        <v>4745</v>
      </c>
      <c r="E44" t="str">
        <f>"010323101"</f>
        <v>010323101</v>
      </c>
      <c r="F44" t="s">
        <v>218</v>
      </c>
      <c r="G44" t="s">
        <v>42</v>
      </c>
      <c r="H44" t="s">
        <v>210</v>
      </c>
      <c r="I44" t="s">
        <v>211</v>
      </c>
      <c r="J44" t="s">
        <v>212</v>
      </c>
      <c r="K44" t="str">
        <f>"9283342293"</f>
        <v>9283342293</v>
      </c>
      <c r="L44" t="str">
        <f>"107"</f>
        <v>107</v>
      </c>
      <c r="M44" t="str">
        <f>"9283342336"</f>
        <v>9283342336</v>
      </c>
      <c r="N44" t="str">
        <f>""</f>
        <v/>
      </c>
      <c r="O44" t="s">
        <v>213</v>
      </c>
      <c r="P44" t="s">
        <v>214</v>
      </c>
      <c r="R44" t="s">
        <v>215</v>
      </c>
      <c r="S44" t="s">
        <v>36</v>
      </c>
      <c r="T44" t="str">
        <f>"85930"</f>
        <v>85930</v>
      </c>
      <c r="U44" t="str">
        <f>""</f>
        <v/>
      </c>
      <c r="V44" t="s">
        <v>216</v>
      </c>
      <c r="X44" t="s">
        <v>215</v>
      </c>
      <c r="Y44" t="s">
        <v>36</v>
      </c>
      <c r="Z44" t="str">
        <f>"85930"</f>
        <v>85930</v>
      </c>
      <c r="AA44" t="str">
        <f>""</f>
        <v/>
      </c>
      <c r="AB44" t="s">
        <v>217</v>
      </c>
    </row>
    <row r="45" spans="1:28" x14ac:dyDescent="0.25">
      <c r="A45">
        <v>4167</v>
      </c>
      <c r="B45" t="str">
        <f>"020100000"</f>
        <v>020100000</v>
      </c>
      <c r="C45" t="s">
        <v>219</v>
      </c>
      <c r="D45">
        <v>0</v>
      </c>
      <c r="E45" t="str">
        <f>""</f>
        <v/>
      </c>
      <c r="G45" t="s">
        <v>29</v>
      </c>
      <c r="H45" t="s">
        <v>220</v>
      </c>
      <c r="I45" t="s">
        <v>221</v>
      </c>
      <c r="J45" t="s">
        <v>222</v>
      </c>
      <c r="K45" t="str">
        <f>"5204585082"</f>
        <v>5204585082</v>
      </c>
      <c r="L45" t="str">
        <f>"1001"</f>
        <v>1001</v>
      </c>
      <c r="M45" t="str">
        <f>"5204538771"</f>
        <v>5204538771</v>
      </c>
      <c r="N45" t="str">
        <f>""</f>
        <v/>
      </c>
      <c r="O45" t="s">
        <v>223</v>
      </c>
      <c r="P45" t="s">
        <v>224</v>
      </c>
      <c r="R45" t="s">
        <v>225</v>
      </c>
      <c r="S45" t="s">
        <v>36</v>
      </c>
      <c r="T45" t="str">
        <f>"85670"</f>
        <v>85670</v>
      </c>
      <c r="U45" t="str">
        <f>""</f>
        <v/>
      </c>
      <c r="V45" t="s">
        <v>226</v>
      </c>
      <c r="X45" t="s">
        <v>227</v>
      </c>
      <c r="Y45" t="s">
        <v>36</v>
      </c>
      <c r="Z45" t="str">
        <f>"85613"</f>
        <v>85613</v>
      </c>
      <c r="AA45" t="str">
        <f>""</f>
        <v/>
      </c>
      <c r="AB45" t="s">
        <v>40</v>
      </c>
    </row>
    <row r="46" spans="1:28" x14ac:dyDescent="0.25">
      <c r="A46">
        <v>4167</v>
      </c>
      <c r="B46" t="str">
        <f>"020100000"</f>
        <v>020100000</v>
      </c>
      <c r="C46" t="s">
        <v>219</v>
      </c>
      <c r="D46">
        <v>4747</v>
      </c>
      <c r="E46" t="str">
        <f>"020100102"</f>
        <v>020100102</v>
      </c>
      <c r="F46" t="s">
        <v>228</v>
      </c>
      <c r="G46" t="s">
        <v>42</v>
      </c>
      <c r="H46" t="s">
        <v>229</v>
      </c>
      <c r="I46" t="s">
        <v>230</v>
      </c>
      <c r="J46" t="s">
        <v>231</v>
      </c>
      <c r="K46" t="str">
        <f>"5204585082"</f>
        <v>5204585082</v>
      </c>
      <c r="L46" t="str">
        <f>"1501"</f>
        <v>1501</v>
      </c>
      <c r="M46" t="str">
        <f>"5205755967"</f>
        <v>5205755967</v>
      </c>
      <c r="N46" t="str">
        <f>""</f>
        <v/>
      </c>
      <c r="O46" t="s">
        <v>232</v>
      </c>
      <c r="P46" t="s">
        <v>233</v>
      </c>
      <c r="R46" t="s">
        <v>225</v>
      </c>
      <c r="S46" t="s">
        <v>36</v>
      </c>
      <c r="T46" t="str">
        <f>"85670"</f>
        <v>85670</v>
      </c>
      <c r="U46" t="str">
        <f>""</f>
        <v/>
      </c>
      <c r="V46" t="s">
        <v>234</v>
      </c>
      <c r="X46" t="s">
        <v>235</v>
      </c>
      <c r="Y46" t="s">
        <v>36</v>
      </c>
      <c r="Z46" t="str">
        <f>"85613"</f>
        <v>85613</v>
      </c>
      <c r="AA46" t="str">
        <f>""</f>
        <v/>
      </c>
      <c r="AB46" t="s">
        <v>40</v>
      </c>
    </row>
    <row r="47" spans="1:28" x14ac:dyDescent="0.25">
      <c r="A47">
        <v>4167</v>
      </c>
      <c r="B47" t="str">
        <f>"020100000"</f>
        <v>020100000</v>
      </c>
      <c r="C47" t="s">
        <v>219</v>
      </c>
      <c r="D47">
        <v>4748</v>
      </c>
      <c r="E47" t="str">
        <f>"020100103"</f>
        <v>020100103</v>
      </c>
      <c r="F47" t="s">
        <v>236</v>
      </c>
      <c r="G47" t="s">
        <v>42</v>
      </c>
      <c r="H47" t="s">
        <v>229</v>
      </c>
      <c r="I47" t="s">
        <v>230</v>
      </c>
      <c r="J47" t="s">
        <v>231</v>
      </c>
      <c r="K47" t="str">
        <f>"5204585082"</f>
        <v>5204585082</v>
      </c>
      <c r="L47" t="str">
        <f>"1501"</f>
        <v>1501</v>
      </c>
      <c r="M47" t="str">
        <f>"5205155967"</f>
        <v>5205155967</v>
      </c>
      <c r="N47" t="str">
        <f>""</f>
        <v/>
      </c>
      <c r="O47" t="s">
        <v>232</v>
      </c>
      <c r="P47" t="s">
        <v>233</v>
      </c>
      <c r="R47" t="s">
        <v>225</v>
      </c>
      <c r="S47" t="s">
        <v>36</v>
      </c>
      <c r="T47" t="str">
        <f>"85670"</f>
        <v>85670</v>
      </c>
      <c r="U47" t="str">
        <f>""</f>
        <v/>
      </c>
      <c r="V47" t="s">
        <v>237</v>
      </c>
      <c r="X47" t="s">
        <v>225</v>
      </c>
      <c r="Y47" t="s">
        <v>36</v>
      </c>
      <c r="Z47" t="str">
        <f>"85613"</f>
        <v>85613</v>
      </c>
      <c r="AA47" t="str">
        <f>""</f>
        <v/>
      </c>
      <c r="AB47" t="s">
        <v>40</v>
      </c>
    </row>
    <row r="48" spans="1:28" x14ac:dyDescent="0.25">
      <c r="A48">
        <v>4167</v>
      </c>
      <c r="B48" t="str">
        <f>"020100000"</f>
        <v>020100000</v>
      </c>
      <c r="C48" t="s">
        <v>219</v>
      </c>
      <c r="D48">
        <v>5982</v>
      </c>
      <c r="E48" t="str">
        <f>"020100101"</f>
        <v>020100101</v>
      </c>
      <c r="F48" t="s">
        <v>238</v>
      </c>
      <c r="G48" t="s">
        <v>42</v>
      </c>
      <c r="H48" t="s">
        <v>229</v>
      </c>
      <c r="I48" t="s">
        <v>230</v>
      </c>
      <c r="J48" t="s">
        <v>231</v>
      </c>
      <c r="K48" t="str">
        <f>"5204585082"</f>
        <v>5204585082</v>
      </c>
      <c r="L48" t="str">
        <f>"1501"</f>
        <v>1501</v>
      </c>
      <c r="M48" t="str">
        <f>"5205155967"</f>
        <v>5205155967</v>
      </c>
      <c r="N48" t="str">
        <f>""</f>
        <v/>
      </c>
      <c r="O48" t="s">
        <v>232</v>
      </c>
      <c r="P48" t="s">
        <v>233</v>
      </c>
      <c r="R48" t="s">
        <v>225</v>
      </c>
      <c r="S48" t="s">
        <v>36</v>
      </c>
      <c r="T48" t="str">
        <f>"85670"</f>
        <v>85670</v>
      </c>
      <c r="U48" t="str">
        <f>""</f>
        <v/>
      </c>
      <c r="V48" t="s">
        <v>239</v>
      </c>
      <c r="X48" t="s">
        <v>225</v>
      </c>
      <c r="Y48" t="s">
        <v>36</v>
      </c>
      <c r="Z48" t="str">
        <f>"85613"</f>
        <v>85613</v>
      </c>
      <c r="AA48" t="str">
        <f>""</f>
        <v/>
      </c>
      <c r="AB48" t="s">
        <v>40</v>
      </c>
    </row>
    <row r="49" spans="1:28" x14ac:dyDescent="0.25">
      <c r="A49">
        <v>4168</v>
      </c>
      <c r="B49" t="str">
        <f>"020201000"</f>
        <v>020201000</v>
      </c>
      <c r="C49" t="s">
        <v>240</v>
      </c>
      <c r="D49">
        <v>0</v>
      </c>
      <c r="E49" t="str">
        <f>""</f>
        <v/>
      </c>
      <c r="G49" t="s">
        <v>29</v>
      </c>
      <c r="H49" t="s">
        <v>210</v>
      </c>
      <c r="I49" t="s">
        <v>241</v>
      </c>
      <c r="J49" t="s">
        <v>242</v>
      </c>
      <c r="K49" t="str">
        <f>"5204572217"</f>
        <v>5204572217</v>
      </c>
      <c r="L49" t="str">
        <f>"3289"</f>
        <v>3289</v>
      </c>
      <c r="M49" t="str">
        <f>"5204573270"</f>
        <v>5204573270</v>
      </c>
      <c r="N49" t="str">
        <f>""</f>
        <v/>
      </c>
      <c r="O49" t="s">
        <v>243</v>
      </c>
      <c r="P49" t="s">
        <v>244</v>
      </c>
      <c r="Q49" t="s">
        <v>245</v>
      </c>
      <c r="R49" t="s">
        <v>246</v>
      </c>
      <c r="S49" t="s">
        <v>36</v>
      </c>
      <c r="T49" t="str">
        <f>"85638"</f>
        <v>85638</v>
      </c>
      <c r="U49" t="str">
        <f>"1000"</f>
        <v>1000</v>
      </c>
      <c r="V49" t="s">
        <v>247</v>
      </c>
      <c r="W49" t="s">
        <v>248</v>
      </c>
      <c r="X49" t="s">
        <v>246</v>
      </c>
      <c r="Y49" t="s">
        <v>36</v>
      </c>
      <c r="Z49" t="str">
        <f>"85638"</f>
        <v>85638</v>
      </c>
      <c r="AA49" t="str">
        <f>""</f>
        <v/>
      </c>
      <c r="AB49" t="s">
        <v>249</v>
      </c>
    </row>
    <row r="50" spans="1:28" x14ac:dyDescent="0.25">
      <c r="A50">
        <v>4168</v>
      </c>
      <c r="B50" t="str">
        <f>"020201000"</f>
        <v>020201000</v>
      </c>
      <c r="C50" t="s">
        <v>240</v>
      </c>
      <c r="D50">
        <v>4749</v>
      </c>
      <c r="E50" t="str">
        <f>"020201101"</f>
        <v>020201101</v>
      </c>
      <c r="F50" t="s">
        <v>250</v>
      </c>
      <c r="G50" t="s">
        <v>42</v>
      </c>
      <c r="H50" t="s">
        <v>210</v>
      </c>
      <c r="I50" t="s">
        <v>241</v>
      </c>
      <c r="J50" t="s">
        <v>242</v>
      </c>
      <c r="K50" t="str">
        <f>"5204572217"</f>
        <v>5204572217</v>
      </c>
      <c r="L50" t="str">
        <f>"3289"</f>
        <v>3289</v>
      </c>
      <c r="M50" t="str">
        <f>"5204569811"</f>
        <v>5204569811</v>
      </c>
      <c r="N50" t="str">
        <f>""</f>
        <v/>
      </c>
      <c r="O50" t="s">
        <v>243</v>
      </c>
      <c r="P50" t="s">
        <v>247</v>
      </c>
      <c r="Q50" t="s">
        <v>245</v>
      </c>
      <c r="R50" t="s">
        <v>246</v>
      </c>
      <c r="S50" t="s">
        <v>36</v>
      </c>
      <c r="T50" t="str">
        <f>"85638"</f>
        <v>85638</v>
      </c>
      <c r="U50" t="str">
        <f>"1000"</f>
        <v>1000</v>
      </c>
      <c r="V50" t="s">
        <v>250</v>
      </c>
      <c r="W50" t="s">
        <v>251</v>
      </c>
      <c r="X50" t="s">
        <v>252</v>
      </c>
      <c r="Y50" t="s">
        <v>36</v>
      </c>
      <c r="Z50" t="str">
        <f>"85616"</f>
        <v>85616</v>
      </c>
      <c r="AA50" t="str">
        <f>""</f>
        <v/>
      </c>
      <c r="AB50" t="s">
        <v>249</v>
      </c>
    </row>
    <row r="51" spans="1:28" x14ac:dyDescent="0.25">
      <c r="A51">
        <v>4168</v>
      </c>
      <c r="B51" t="str">
        <f>"020201000"</f>
        <v>020201000</v>
      </c>
      <c r="C51" t="s">
        <v>240</v>
      </c>
      <c r="D51">
        <v>4750</v>
      </c>
      <c r="E51" t="str">
        <f>"020201102"</f>
        <v>020201102</v>
      </c>
      <c r="F51" t="s">
        <v>253</v>
      </c>
      <c r="G51" t="s">
        <v>42</v>
      </c>
      <c r="H51" t="s">
        <v>210</v>
      </c>
      <c r="I51" t="s">
        <v>241</v>
      </c>
      <c r="J51" t="s">
        <v>242</v>
      </c>
      <c r="K51" t="str">
        <f>"5204572217"</f>
        <v>5204572217</v>
      </c>
      <c r="L51" t="str">
        <f>"3289"</f>
        <v>3289</v>
      </c>
      <c r="M51" t="str">
        <f>"5204573270"</f>
        <v>5204573270</v>
      </c>
      <c r="N51" t="str">
        <f>""</f>
        <v/>
      </c>
      <c r="O51" t="s">
        <v>243</v>
      </c>
      <c r="P51" t="s">
        <v>254</v>
      </c>
      <c r="Q51" t="s">
        <v>245</v>
      </c>
      <c r="R51" t="s">
        <v>246</v>
      </c>
      <c r="S51" t="s">
        <v>36</v>
      </c>
      <c r="T51" t="str">
        <f>"85638"</f>
        <v>85638</v>
      </c>
      <c r="U51" t="str">
        <f>"1000"</f>
        <v>1000</v>
      </c>
      <c r="V51" t="s">
        <v>255</v>
      </c>
      <c r="W51" t="s">
        <v>256</v>
      </c>
      <c r="X51" t="s">
        <v>246</v>
      </c>
      <c r="Y51" t="s">
        <v>36</v>
      </c>
      <c r="Z51" t="str">
        <f>"85638"</f>
        <v>85638</v>
      </c>
      <c r="AA51" t="str">
        <f>""</f>
        <v/>
      </c>
      <c r="AB51" t="s">
        <v>249</v>
      </c>
    </row>
    <row r="52" spans="1:28" x14ac:dyDescent="0.25">
      <c r="A52">
        <v>4168</v>
      </c>
      <c r="B52" t="str">
        <f>"020201000"</f>
        <v>020201000</v>
      </c>
      <c r="C52" t="s">
        <v>240</v>
      </c>
      <c r="D52">
        <v>4751</v>
      </c>
      <c r="E52" t="str">
        <f>"020201207"</f>
        <v>020201207</v>
      </c>
      <c r="F52" t="s">
        <v>257</v>
      </c>
      <c r="G52" t="s">
        <v>42</v>
      </c>
      <c r="H52" t="s">
        <v>210</v>
      </c>
      <c r="I52" t="s">
        <v>241</v>
      </c>
      <c r="J52" t="s">
        <v>242</v>
      </c>
      <c r="K52" t="str">
        <f>"5204572217"</f>
        <v>5204572217</v>
      </c>
      <c r="L52" t="str">
        <f>"3289"</f>
        <v>3289</v>
      </c>
      <c r="M52" t="str">
        <f>"5204573643"</f>
        <v>5204573643</v>
      </c>
      <c r="N52" t="str">
        <f>""</f>
        <v/>
      </c>
      <c r="O52" t="s">
        <v>243</v>
      </c>
      <c r="P52" t="s">
        <v>247</v>
      </c>
      <c r="Q52" t="s">
        <v>245</v>
      </c>
      <c r="R52" t="s">
        <v>246</v>
      </c>
      <c r="S52" t="s">
        <v>36</v>
      </c>
      <c r="T52" t="str">
        <f>"85638"</f>
        <v>85638</v>
      </c>
      <c r="U52" t="str">
        <f>"1000"</f>
        <v>1000</v>
      </c>
      <c r="V52" t="s">
        <v>257</v>
      </c>
      <c r="W52" t="s">
        <v>258</v>
      </c>
      <c r="X52" t="s">
        <v>246</v>
      </c>
      <c r="Y52" t="s">
        <v>36</v>
      </c>
      <c r="Z52" t="str">
        <f>"85638"</f>
        <v>85638</v>
      </c>
      <c r="AA52" t="str">
        <f>""</f>
        <v/>
      </c>
      <c r="AB52" t="s">
        <v>249</v>
      </c>
    </row>
    <row r="53" spans="1:28" x14ac:dyDescent="0.25">
      <c r="A53">
        <v>4169</v>
      </c>
      <c r="B53" t="str">
        <f>"020202000"</f>
        <v>020202000</v>
      </c>
      <c r="C53" t="s">
        <v>259</v>
      </c>
      <c r="D53">
        <v>0</v>
      </c>
      <c r="E53" t="str">
        <f>""</f>
        <v/>
      </c>
      <c r="G53" t="s">
        <v>29</v>
      </c>
      <c r="H53" t="s">
        <v>260</v>
      </c>
      <c r="I53" t="s">
        <v>261</v>
      </c>
      <c r="J53" t="s">
        <v>32</v>
      </c>
      <c r="K53" t="str">
        <f>"5204325714"</f>
        <v>5204325714</v>
      </c>
      <c r="L53" t="str">
        <f>"2216"</f>
        <v>2216</v>
      </c>
      <c r="M53" t="str">
        <f>"5204329123"</f>
        <v>5204329123</v>
      </c>
      <c r="N53" t="str">
        <f>""</f>
        <v/>
      </c>
      <c r="O53" t="s">
        <v>262</v>
      </c>
      <c r="P53" t="s">
        <v>263</v>
      </c>
      <c r="R53" t="s">
        <v>264</v>
      </c>
      <c r="S53" t="s">
        <v>36</v>
      </c>
      <c r="T53" t="str">
        <f>"85603"</f>
        <v>85603</v>
      </c>
      <c r="U53" t="str">
        <f>""</f>
        <v/>
      </c>
      <c r="V53" t="s">
        <v>263</v>
      </c>
      <c r="X53" t="s">
        <v>264</v>
      </c>
      <c r="Y53" t="s">
        <v>36</v>
      </c>
      <c r="Z53" t="str">
        <f>"85603"</f>
        <v>85603</v>
      </c>
      <c r="AA53" t="str">
        <f>""</f>
        <v/>
      </c>
      <c r="AB53" t="s">
        <v>265</v>
      </c>
    </row>
    <row r="54" spans="1:28" x14ac:dyDescent="0.25">
      <c r="A54">
        <v>4169</v>
      </c>
      <c r="B54" t="str">
        <f>"020202000"</f>
        <v>020202000</v>
      </c>
      <c r="C54" t="s">
        <v>259</v>
      </c>
      <c r="D54">
        <v>4752</v>
      </c>
      <c r="E54" t="str">
        <f>"020202103"</f>
        <v>020202103</v>
      </c>
      <c r="F54" t="s">
        <v>266</v>
      </c>
      <c r="G54" t="s">
        <v>42</v>
      </c>
      <c r="H54" t="s">
        <v>260</v>
      </c>
      <c r="I54" t="s">
        <v>261</v>
      </c>
      <c r="J54" t="s">
        <v>32</v>
      </c>
      <c r="K54" t="str">
        <f>"5204325714"</f>
        <v>5204325714</v>
      </c>
      <c r="L54" t="str">
        <f>"2216"</f>
        <v>2216</v>
      </c>
      <c r="M54" t="str">
        <f>"5204329123"</f>
        <v>5204329123</v>
      </c>
      <c r="N54" t="str">
        <f>""</f>
        <v/>
      </c>
      <c r="O54" t="s">
        <v>262</v>
      </c>
      <c r="P54" t="s">
        <v>263</v>
      </c>
      <c r="R54" t="s">
        <v>264</v>
      </c>
      <c r="S54" t="s">
        <v>36</v>
      </c>
      <c r="T54" t="str">
        <f>"85603"</f>
        <v>85603</v>
      </c>
      <c r="U54" t="str">
        <f>""</f>
        <v/>
      </c>
      <c r="V54" t="s">
        <v>267</v>
      </c>
      <c r="X54" t="s">
        <v>264</v>
      </c>
      <c r="Y54" t="s">
        <v>36</v>
      </c>
      <c r="Z54" t="str">
        <f>"85603"</f>
        <v>85603</v>
      </c>
      <c r="AA54" t="str">
        <f>""</f>
        <v/>
      </c>
      <c r="AB54" t="s">
        <v>265</v>
      </c>
    </row>
    <row r="55" spans="1:28" x14ac:dyDescent="0.25">
      <c r="A55">
        <v>4169</v>
      </c>
      <c r="B55" t="str">
        <f>"020202000"</f>
        <v>020202000</v>
      </c>
      <c r="C55" t="s">
        <v>259</v>
      </c>
      <c r="D55">
        <v>4753</v>
      </c>
      <c r="E55" t="str">
        <f>"020202105"</f>
        <v>020202105</v>
      </c>
      <c r="F55" t="s">
        <v>268</v>
      </c>
      <c r="G55" t="s">
        <v>42</v>
      </c>
      <c r="H55" t="s">
        <v>269</v>
      </c>
      <c r="I55" t="s">
        <v>270</v>
      </c>
      <c r="J55" t="s">
        <v>32</v>
      </c>
      <c r="K55" t="str">
        <f>"5204325714"</f>
        <v>5204325714</v>
      </c>
      <c r="L55" t="str">
        <f>"2216"</f>
        <v>2216</v>
      </c>
      <c r="M55" t="str">
        <f>"5204329123"</f>
        <v>5204329123</v>
      </c>
      <c r="N55" t="str">
        <f>""</f>
        <v/>
      </c>
      <c r="O55" t="s">
        <v>262</v>
      </c>
      <c r="P55" t="s">
        <v>263</v>
      </c>
      <c r="R55" t="s">
        <v>264</v>
      </c>
      <c r="S55" t="s">
        <v>36</v>
      </c>
      <c r="T55" t="str">
        <f>"85603"</f>
        <v>85603</v>
      </c>
      <c r="U55" t="str">
        <f>""</f>
        <v/>
      </c>
      <c r="V55" t="s">
        <v>271</v>
      </c>
      <c r="X55" t="s">
        <v>264</v>
      </c>
      <c r="Y55" t="s">
        <v>36</v>
      </c>
      <c r="Z55" t="str">
        <f>"85603"</f>
        <v>85603</v>
      </c>
      <c r="AA55" t="str">
        <f>""</f>
        <v/>
      </c>
      <c r="AB55" t="s">
        <v>265</v>
      </c>
    </row>
    <row r="56" spans="1:28" x14ac:dyDescent="0.25">
      <c r="A56">
        <v>4169</v>
      </c>
      <c r="B56" t="str">
        <f>"020202000"</f>
        <v>020202000</v>
      </c>
      <c r="C56" t="s">
        <v>259</v>
      </c>
      <c r="D56">
        <v>4754</v>
      </c>
      <c r="E56" t="str">
        <f>"020202201"</f>
        <v>020202201</v>
      </c>
      <c r="F56" t="s">
        <v>272</v>
      </c>
      <c r="G56" t="s">
        <v>42</v>
      </c>
      <c r="H56" t="s">
        <v>260</v>
      </c>
      <c r="I56" t="s">
        <v>261</v>
      </c>
      <c r="J56" t="s">
        <v>32</v>
      </c>
      <c r="K56" t="str">
        <f>"5204325714"</f>
        <v>5204325714</v>
      </c>
      <c r="L56" t="str">
        <f>"2216"</f>
        <v>2216</v>
      </c>
      <c r="M56" t="str">
        <f>"5204329123"</f>
        <v>5204329123</v>
      </c>
      <c r="N56" t="str">
        <f>""</f>
        <v/>
      </c>
      <c r="O56" t="s">
        <v>262</v>
      </c>
      <c r="P56" t="s">
        <v>263</v>
      </c>
      <c r="R56" t="s">
        <v>264</v>
      </c>
      <c r="S56" t="s">
        <v>36</v>
      </c>
      <c r="T56" t="str">
        <f>"85603"</f>
        <v>85603</v>
      </c>
      <c r="U56" t="str">
        <f>""</f>
        <v/>
      </c>
      <c r="V56" t="s">
        <v>273</v>
      </c>
      <c r="X56" t="s">
        <v>264</v>
      </c>
      <c r="Y56" t="s">
        <v>36</v>
      </c>
      <c r="Z56" t="str">
        <f>"85603"</f>
        <v>85603</v>
      </c>
      <c r="AA56" t="str">
        <f>""</f>
        <v/>
      </c>
      <c r="AB56" t="s">
        <v>265</v>
      </c>
    </row>
    <row r="57" spans="1:28" x14ac:dyDescent="0.25">
      <c r="A57">
        <v>4170</v>
      </c>
      <c r="B57" t="str">
        <f>"020213000"</f>
        <v>020213000</v>
      </c>
      <c r="C57" t="s">
        <v>274</v>
      </c>
      <c r="D57">
        <v>0</v>
      </c>
      <c r="E57" t="str">
        <f>""</f>
        <v/>
      </c>
      <c r="G57" t="s">
        <v>29</v>
      </c>
      <c r="H57" t="s">
        <v>275</v>
      </c>
      <c r="I57" t="s">
        <v>276</v>
      </c>
      <c r="J57" t="s">
        <v>277</v>
      </c>
      <c r="K57" t="str">
        <f>"5203848600"</f>
        <v>5203848600</v>
      </c>
      <c r="L57" t="str">
        <f>""</f>
        <v/>
      </c>
      <c r="M57" t="str">
        <f>"5203844401"</f>
        <v>5203844401</v>
      </c>
      <c r="N57" t="str">
        <f>""</f>
        <v/>
      </c>
      <c r="O57" t="s">
        <v>278</v>
      </c>
      <c r="P57" t="s">
        <v>279</v>
      </c>
      <c r="Q57" t="s">
        <v>280</v>
      </c>
      <c r="R57" t="s">
        <v>281</v>
      </c>
      <c r="S57" t="s">
        <v>36</v>
      </c>
      <c r="T57" t="str">
        <f>"85643"</f>
        <v>85643</v>
      </c>
      <c r="U57" t="str">
        <f>""</f>
        <v/>
      </c>
      <c r="V57" t="s">
        <v>279</v>
      </c>
      <c r="W57" t="s">
        <v>280</v>
      </c>
      <c r="X57" t="s">
        <v>281</v>
      </c>
      <c r="Y57" t="s">
        <v>36</v>
      </c>
      <c r="Z57" t="str">
        <f>"85643"</f>
        <v>85643</v>
      </c>
      <c r="AA57" t="str">
        <f>""</f>
        <v/>
      </c>
      <c r="AB57" t="s">
        <v>282</v>
      </c>
    </row>
    <row r="58" spans="1:28" x14ac:dyDescent="0.25">
      <c r="A58">
        <v>4170</v>
      </c>
      <c r="B58" t="str">
        <f>"020213000"</f>
        <v>020213000</v>
      </c>
      <c r="C58" t="s">
        <v>274</v>
      </c>
      <c r="D58">
        <v>4755</v>
      </c>
      <c r="E58" t="str">
        <f>"020213101"</f>
        <v>020213101</v>
      </c>
      <c r="F58" t="s">
        <v>283</v>
      </c>
      <c r="G58" t="s">
        <v>42</v>
      </c>
      <c r="H58" t="s">
        <v>275</v>
      </c>
      <c r="I58" t="s">
        <v>276</v>
      </c>
      <c r="J58" t="s">
        <v>277</v>
      </c>
      <c r="K58" t="str">
        <f>"5203848600"</f>
        <v>5203848600</v>
      </c>
      <c r="L58" t="str">
        <f>""</f>
        <v/>
      </c>
      <c r="M58" t="str">
        <f>"5203844401"</f>
        <v>5203844401</v>
      </c>
      <c r="N58" t="str">
        <f>""</f>
        <v/>
      </c>
      <c r="O58" t="s">
        <v>284</v>
      </c>
      <c r="P58" t="s">
        <v>283</v>
      </c>
      <c r="Q58" t="s">
        <v>285</v>
      </c>
      <c r="R58" t="s">
        <v>281</v>
      </c>
      <c r="S58" t="s">
        <v>36</v>
      </c>
      <c r="T58" t="str">
        <f>"85643"</f>
        <v>85643</v>
      </c>
      <c r="U58" t="str">
        <f>""</f>
        <v/>
      </c>
      <c r="V58" t="s">
        <v>283</v>
      </c>
      <c r="W58" t="s">
        <v>285</v>
      </c>
      <c r="X58" t="s">
        <v>281</v>
      </c>
      <c r="Y58" t="s">
        <v>36</v>
      </c>
      <c r="Z58" t="str">
        <f>"85643"</f>
        <v>85643</v>
      </c>
      <c r="AA58" t="str">
        <f>""</f>
        <v/>
      </c>
      <c r="AB58" t="s">
        <v>282</v>
      </c>
    </row>
    <row r="59" spans="1:28" x14ac:dyDescent="0.25">
      <c r="A59">
        <v>4170</v>
      </c>
      <c r="B59" t="str">
        <f>"020213000"</f>
        <v>020213000</v>
      </c>
      <c r="C59" t="s">
        <v>274</v>
      </c>
      <c r="D59">
        <v>4756</v>
      </c>
      <c r="E59" t="str">
        <f>"020213102"</f>
        <v>020213102</v>
      </c>
      <c r="F59" t="s">
        <v>286</v>
      </c>
      <c r="G59" t="s">
        <v>42</v>
      </c>
      <c r="H59" t="s">
        <v>275</v>
      </c>
      <c r="I59" t="s">
        <v>276</v>
      </c>
      <c r="J59" t="s">
        <v>277</v>
      </c>
      <c r="K59" t="str">
        <f>"5203848600"</f>
        <v>5203848600</v>
      </c>
      <c r="L59" t="str">
        <f>""</f>
        <v/>
      </c>
      <c r="M59" t="str">
        <f>"5203844401"</f>
        <v>5203844401</v>
      </c>
      <c r="N59" t="str">
        <f>""</f>
        <v/>
      </c>
      <c r="O59" t="s">
        <v>278</v>
      </c>
      <c r="P59" t="s">
        <v>286</v>
      </c>
      <c r="Q59" t="s">
        <v>287</v>
      </c>
      <c r="R59" t="s">
        <v>281</v>
      </c>
      <c r="S59" t="s">
        <v>36</v>
      </c>
      <c r="T59" t="str">
        <f>"85643"</f>
        <v>85643</v>
      </c>
      <c r="U59" t="str">
        <f>""</f>
        <v/>
      </c>
      <c r="V59" t="s">
        <v>286</v>
      </c>
      <c r="W59" t="s">
        <v>287</v>
      </c>
      <c r="X59" t="s">
        <v>281</v>
      </c>
      <c r="Y59" t="s">
        <v>36</v>
      </c>
      <c r="Z59" t="str">
        <f>"85643"</f>
        <v>85643</v>
      </c>
      <c r="AA59" t="str">
        <f>""</f>
        <v/>
      </c>
      <c r="AB59" t="s">
        <v>282</v>
      </c>
    </row>
    <row r="60" spans="1:28" x14ac:dyDescent="0.25">
      <c r="A60">
        <v>4170</v>
      </c>
      <c r="B60" t="str">
        <f>"020213000"</f>
        <v>020213000</v>
      </c>
      <c r="C60" t="s">
        <v>274</v>
      </c>
      <c r="D60">
        <v>4757</v>
      </c>
      <c r="E60" t="str">
        <f>"020213201"</f>
        <v>020213201</v>
      </c>
      <c r="F60" t="s">
        <v>288</v>
      </c>
      <c r="G60" t="s">
        <v>42</v>
      </c>
      <c r="H60" t="s">
        <v>275</v>
      </c>
      <c r="I60" t="s">
        <v>276</v>
      </c>
      <c r="J60" t="s">
        <v>277</v>
      </c>
      <c r="K60" t="str">
        <f>"5203848600"</f>
        <v>5203848600</v>
      </c>
      <c r="L60" t="str">
        <f>""</f>
        <v/>
      </c>
      <c r="M60" t="str">
        <f>"5203844401"</f>
        <v>5203844401</v>
      </c>
      <c r="N60" t="str">
        <f>""</f>
        <v/>
      </c>
      <c r="O60" t="s">
        <v>289</v>
      </c>
      <c r="P60" t="s">
        <v>290</v>
      </c>
      <c r="Q60" t="s">
        <v>291</v>
      </c>
      <c r="R60" t="s">
        <v>281</v>
      </c>
      <c r="S60" t="s">
        <v>36</v>
      </c>
      <c r="T60" t="str">
        <f>"85643"</f>
        <v>85643</v>
      </c>
      <c r="U60" t="str">
        <f>""</f>
        <v/>
      </c>
      <c r="V60" t="s">
        <v>290</v>
      </c>
      <c r="W60" t="s">
        <v>291</v>
      </c>
      <c r="X60" t="s">
        <v>281</v>
      </c>
      <c r="Y60" t="s">
        <v>36</v>
      </c>
      <c r="Z60" t="str">
        <f>"85643"</f>
        <v>85643</v>
      </c>
      <c r="AA60" t="str">
        <f>""</f>
        <v/>
      </c>
      <c r="AB60" t="s">
        <v>282</v>
      </c>
    </row>
    <row r="61" spans="1:28" x14ac:dyDescent="0.25">
      <c r="A61">
        <v>4171</v>
      </c>
      <c r="B61" t="str">
        <f>"020214000"</f>
        <v>020214000</v>
      </c>
      <c r="C61" t="s">
        <v>292</v>
      </c>
      <c r="D61">
        <v>0</v>
      </c>
      <c r="E61" t="str">
        <f>""</f>
        <v/>
      </c>
      <c r="G61" t="s">
        <v>29</v>
      </c>
      <c r="H61" t="s">
        <v>293</v>
      </c>
      <c r="I61" t="s">
        <v>294</v>
      </c>
      <c r="J61" t="s">
        <v>295</v>
      </c>
      <c r="K61" t="str">
        <f>"5208472545"</f>
        <v>5208472545</v>
      </c>
      <c r="L61" t="str">
        <f>""</f>
        <v/>
      </c>
      <c r="M61" t="str">
        <f>"5208472546"</f>
        <v>5208472546</v>
      </c>
      <c r="N61" t="str">
        <f>""</f>
        <v/>
      </c>
      <c r="O61" t="s">
        <v>296</v>
      </c>
      <c r="P61" t="s">
        <v>297</v>
      </c>
      <c r="R61" t="s">
        <v>298</v>
      </c>
      <c r="S61" t="s">
        <v>36</v>
      </c>
      <c r="T61" t="str">
        <f>"85605"</f>
        <v>85605</v>
      </c>
      <c r="U61" t="str">
        <f>"0157"</f>
        <v>0157</v>
      </c>
      <c r="V61" t="s">
        <v>299</v>
      </c>
      <c r="X61" t="s">
        <v>298</v>
      </c>
      <c r="Y61" t="s">
        <v>36</v>
      </c>
      <c r="Z61" t="str">
        <f>"85605"</f>
        <v>85605</v>
      </c>
      <c r="AA61" t="str">
        <f>"0157"</f>
        <v>0157</v>
      </c>
      <c r="AB61" t="s">
        <v>217</v>
      </c>
    </row>
    <row r="62" spans="1:28" x14ac:dyDescent="0.25">
      <c r="A62">
        <v>4171</v>
      </c>
      <c r="B62" t="str">
        <f>"020214000"</f>
        <v>020214000</v>
      </c>
      <c r="C62" t="s">
        <v>292</v>
      </c>
      <c r="D62">
        <v>4758</v>
      </c>
      <c r="E62" t="str">
        <f>"020214100"</f>
        <v>020214100</v>
      </c>
      <c r="F62" t="s">
        <v>300</v>
      </c>
      <c r="G62" t="s">
        <v>42</v>
      </c>
      <c r="H62" t="s">
        <v>293</v>
      </c>
      <c r="I62" t="s">
        <v>294</v>
      </c>
      <c r="J62" t="s">
        <v>301</v>
      </c>
      <c r="K62" t="str">
        <f>"5208472545"</f>
        <v>5208472545</v>
      </c>
      <c r="L62" t="str">
        <f>""</f>
        <v/>
      </c>
      <c r="M62" t="str">
        <f>"5208472546"</f>
        <v>5208472546</v>
      </c>
      <c r="N62" t="str">
        <f>""</f>
        <v/>
      </c>
      <c r="O62" t="s">
        <v>296</v>
      </c>
      <c r="P62" t="s">
        <v>297</v>
      </c>
      <c r="R62" t="s">
        <v>298</v>
      </c>
      <c r="S62" t="s">
        <v>36</v>
      </c>
      <c r="T62" t="str">
        <f>"85605"</f>
        <v>85605</v>
      </c>
      <c r="U62" t="str">
        <f>"0157"</f>
        <v>0157</v>
      </c>
      <c r="V62" t="s">
        <v>302</v>
      </c>
      <c r="X62" t="s">
        <v>298</v>
      </c>
      <c r="Y62" t="s">
        <v>36</v>
      </c>
      <c r="Z62" t="str">
        <f>"85605"</f>
        <v>85605</v>
      </c>
      <c r="AA62" t="str">
        <f>"0157"</f>
        <v>0157</v>
      </c>
      <c r="AB62" t="s">
        <v>217</v>
      </c>
    </row>
    <row r="63" spans="1:28" x14ac:dyDescent="0.25">
      <c r="A63">
        <v>4171</v>
      </c>
      <c r="B63" t="str">
        <f>"020214000"</f>
        <v>020214000</v>
      </c>
      <c r="C63" t="s">
        <v>292</v>
      </c>
      <c r="D63">
        <v>4759</v>
      </c>
      <c r="E63" t="str">
        <f>"020214200"</f>
        <v>020214200</v>
      </c>
      <c r="F63" t="s">
        <v>303</v>
      </c>
      <c r="G63" t="s">
        <v>42</v>
      </c>
      <c r="H63" t="s">
        <v>293</v>
      </c>
      <c r="I63" t="s">
        <v>294</v>
      </c>
      <c r="J63" t="s">
        <v>301</v>
      </c>
      <c r="K63" t="str">
        <f>"5208472545"</f>
        <v>5208472545</v>
      </c>
      <c r="L63" t="str">
        <f>""</f>
        <v/>
      </c>
      <c r="M63" t="str">
        <f>"5208472546"</f>
        <v>5208472546</v>
      </c>
      <c r="N63" t="str">
        <f>""</f>
        <v/>
      </c>
      <c r="O63" t="s">
        <v>296</v>
      </c>
      <c r="P63" t="s">
        <v>297</v>
      </c>
      <c r="R63" t="s">
        <v>298</v>
      </c>
      <c r="S63" t="s">
        <v>36</v>
      </c>
      <c r="T63" t="str">
        <f>"85605"</f>
        <v>85605</v>
      </c>
      <c r="U63" t="str">
        <f>"0157"</f>
        <v>0157</v>
      </c>
      <c r="V63" t="s">
        <v>299</v>
      </c>
      <c r="X63" t="s">
        <v>298</v>
      </c>
      <c r="Y63" t="s">
        <v>36</v>
      </c>
      <c r="Z63" t="str">
        <f>"85605"</f>
        <v>85605</v>
      </c>
      <c r="AA63" t="str">
        <f>"0157"</f>
        <v>0157</v>
      </c>
      <c r="AB63" t="s">
        <v>217</v>
      </c>
    </row>
    <row r="64" spans="1:28" x14ac:dyDescent="0.25">
      <c r="A64">
        <v>4172</v>
      </c>
      <c r="B64" t="str">
        <f>"020218000"</f>
        <v>020218000</v>
      </c>
      <c r="C64" t="s">
        <v>304</v>
      </c>
      <c r="D64">
        <v>0</v>
      </c>
      <c r="E64" t="str">
        <f>""</f>
        <v/>
      </c>
      <c r="G64" t="s">
        <v>29</v>
      </c>
      <c r="H64" t="s">
        <v>305</v>
      </c>
      <c r="I64" t="s">
        <v>306</v>
      </c>
      <c r="J64" t="s">
        <v>307</v>
      </c>
      <c r="K64" t="str">
        <f>"5208452275"</f>
        <v>5208452275</v>
      </c>
      <c r="L64" t="str">
        <f>"217"</f>
        <v>217</v>
      </c>
      <c r="M64" t="str">
        <f>"5208452480"</f>
        <v>5208452480</v>
      </c>
      <c r="N64" t="str">
        <f>""</f>
        <v/>
      </c>
      <c r="O64" t="s">
        <v>308</v>
      </c>
      <c r="P64" t="s">
        <v>309</v>
      </c>
      <c r="R64" t="s">
        <v>310</v>
      </c>
      <c r="S64" t="s">
        <v>36</v>
      </c>
      <c r="T64" t="str">
        <f>"85632"</f>
        <v>85632</v>
      </c>
      <c r="U64" t="str">
        <f>"0038"</f>
        <v>0038</v>
      </c>
      <c r="V64" t="s">
        <v>311</v>
      </c>
      <c r="X64" t="s">
        <v>310</v>
      </c>
      <c r="Y64" t="s">
        <v>36</v>
      </c>
      <c r="Z64" t="str">
        <f>"85632"</f>
        <v>85632</v>
      </c>
      <c r="AA64" t="str">
        <f>"0038"</f>
        <v>0038</v>
      </c>
      <c r="AB64" t="s">
        <v>40</v>
      </c>
    </row>
    <row r="65" spans="1:28" x14ac:dyDescent="0.25">
      <c r="A65">
        <v>4172</v>
      </c>
      <c r="B65" t="str">
        <f>"020218000"</f>
        <v>020218000</v>
      </c>
      <c r="C65" t="s">
        <v>304</v>
      </c>
      <c r="D65">
        <v>4760</v>
      </c>
      <c r="E65" t="str">
        <f>"020218001"</f>
        <v>020218001</v>
      </c>
      <c r="F65" t="s">
        <v>312</v>
      </c>
      <c r="G65" t="s">
        <v>42</v>
      </c>
      <c r="H65" t="s">
        <v>313</v>
      </c>
      <c r="I65" t="s">
        <v>314</v>
      </c>
      <c r="J65" t="s">
        <v>315</v>
      </c>
      <c r="K65" t="str">
        <f>"5208452275"</f>
        <v>5208452275</v>
      </c>
      <c r="L65" t="str">
        <f>"220"</f>
        <v>220</v>
      </c>
      <c r="M65" t="str">
        <f>"5208452480"</f>
        <v>5208452480</v>
      </c>
      <c r="N65" t="str">
        <f>""</f>
        <v/>
      </c>
      <c r="O65" t="s">
        <v>316</v>
      </c>
      <c r="P65" t="s">
        <v>317</v>
      </c>
      <c r="R65" t="s">
        <v>310</v>
      </c>
      <c r="S65" t="s">
        <v>36</v>
      </c>
      <c r="T65" t="str">
        <f>"85632"</f>
        <v>85632</v>
      </c>
      <c r="U65" t="str">
        <f>"0038"</f>
        <v>0038</v>
      </c>
      <c r="V65" t="s">
        <v>318</v>
      </c>
      <c r="W65" t="s">
        <v>317</v>
      </c>
      <c r="X65" t="s">
        <v>310</v>
      </c>
      <c r="Y65" t="s">
        <v>36</v>
      </c>
      <c r="Z65" t="str">
        <f>"85632"</f>
        <v>85632</v>
      </c>
      <c r="AA65" t="str">
        <f>"0038"</f>
        <v>0038</v>
      </c>
      <c r="AB65" t="s">
        <v>40</v>
      </c>
    </row>
    <row r="66" spans="1:28" x14ac:dyDescent="0.25">
      <c r="A66">
        <v>4173</v>
      </c>
      <c r="B66" t="str">
        <f>"020221000"</f>
        <v>020221000</v>
      </c>
      <c r="C66" t="s">
        <v>319</v>
      </c>
      <c r="D66">
        <v>0</v>
      </c>
      <c r="E66" t="str">
        <f>""</f>
        <v/>
      </c>
      <c r="G66" t="s">
        <v>29</v>
      </c>
      <c r="H66" t="s">
        <v>320</v>
      </c>
      <c r="I66" t="s">
        <v>321</v>
      </c>
      <c r="J66" t="s">
        <v>322</v>
      </c>
      <c r="K66" t="str">
        <f>"5207204781"</f>
        <v>5207204781</v>
      </c>
      <c r="L66" t="str">
        <f>"141"</f>
        <v>141</v>
      </c>
      <c r="M66" t="str">
        <f>"5207204783"</f>
        <v>5207204783</v>
      </c>
      <c r="N66" t="str">
        <f>""</f>
        <v/>
      </c>
      <c r="O66" t="s">
        <v>323</v>
      </c>
      <c r="P66" t="s">
        <v>324</v>
      </c>
      <c r="R66" t="s">
        <v>325</v>
      </c>
      <c r="S66" t="s">
        <v>36</v>
      </c>
      <c r="T66" t="str">
        <f>"85630"</f>
        <v>85630</v>
      </c>
      <c r="U66" t="str">
        <f>""</f>
        <v/>
      </c>
      <c r="V66" t="s">
        <v>326</v>
      </c>
      <c r="X66" t="s">
        <v>325</v>
      </c>
      <c r="Y66" t="s">
        <v>36</v>
      </c>
      <c r="Z66" t="str">
        <f>"85630"</f>
        <v>85630</v>
      </c>
      <c r="AA66" t="str">
        <f>""</f>
        <v/>
      </c>
      <c r="AB66" t="s">
        <v>40</v>
      </c>
    </row>
    <row r="67" spans="1:28" x14ac:dyDescent="0.25">
      <c r="A67">
        <v>4173</v>
      </c>
      <c r="B67" t="str">
        <f>"020221000"</f>
        <v>020221000</v>
      </c>
      <c r="C67" t="s">
        <v>319</v>
      </c>
      <c r="D67">
        <v>4761</v>
      </c>
      <c r="E67" t="str">
        <f>"020221101"</f>
        <v>020221101</v>
      </c>
      <c r="F67" t="s">
        <v>327</v>
      </c>
      <c r="G67" t="s">
        <v>42</v>
      </c>
      <c r="H67" t="s">
        <v>320</v>
      </c>
      <c r="I67" t="s">
        <v>321</v>
      </c>
      <c r="J67" t="s">
        <v>195</v>
      </c>
      <c r="K67" t="str">
        <f>"5207204781"</f>
        <v>5207204781</v>
      </c>
      <c r="L67" t="str">
        <f>"141"</f>
        <v>141</v>
      </c>
      <c r="M67" t="str">
        <f>"5207204783"</f>
        <v>5207204783</v>
      </c>
      <c r="N67" t="str">
        <f>""</f>
        <v/>
      </c>
      <c r="O67" t="s">
        <v>323</v>
      </c>
      <c r="P67" t="s">
        <v>324</v>
      </c>
      <c r="R67" t="s">
        <v>325</v>
      </c>
      <c r="S67" t="s">
        <v>36</v>
      </c>
      <c r="T67" t="str">
        <f>"85630"</f>
        <v>85630</v>
      </c>
      <c r="U67" t="str">
        <f>""</f>
        <v/>
      </c>
      <c r="V67" t="s">
        <v>326</v>
      </c>
      <c r="X67" t="s">
        <v>325</v>
      </c>
      <c r="Y67" t="s">
        <v>36</v>
      </c>
      <c r="Z67" t="str">
        <f>"85630"</f>
        <v>85630</v>
      </c>
      <c r="AA67" t="str">
        <f>""</f>
        <v/>
      </c>
      <c r="AB67" t="s">
        <v>40</v>
      </c>
    </row>
    <row r="68" spans="1:28" x14ac:dyDescent="0.25">
      <c r="A68">
        <v>4173</v>
      </c>
      <c r="B68" t="str">
        <f>"020221000"</f>
        <v>020221000</v>
      </c>
      <c r="C68" t="s">
        <v>319</v>
      </c>
      <c r="D68">
        <v>4762</v>
      </c>
      <c r="E68" t="str">
        <f>"020221202"</f>
        <v>020221202</v>
      </c>
      <c r="F68" t="s">
        <v>328</v>
      </c>
      <c r="G68" t="s">
        <v>42</v>
      </c>
      <c r="H68" t="s">
        <v>320</v>
      </c>
      <c r="I68" t="s">
        <v>321</v>
      </c>
      <c r="J68" t="s">
        <v>195</v>
      </c>
      <c r="K68" t="str">
        <f>"5207204781"</f>
        <v>5207204781</v>
      </c>
      <c r="L68" t="str">
        <f>"141"</f>
        <v>141</v>
      </c>
      <c r="M68" t="str">
        <f>"5207204783"</f>
        <v>5207204783</v>
      </c>
      <c r="N68" t="str">
        <f>""</f>
        <v/>
      </c>
      <c r="O68" t="s">
        <v>323</v>
      </c>
      <c r="P68" t="s">
        <v>324</v>
      </c>
      <c r="R68" t="s">
        <v>325</v>
      </c>
      <c r="S68" t="s">
        <v>36</v>
      </c>
      <c r="T68" t="str">
        <f>"85630"</f>
        <v>85630</v>
      </c>
      <c r="U68" t="str">
        <f>""</f>
        <v/>
      </c>
      <c r="V68" t="s">
        <v>326</v>
      </c>
      <c r="X68" t="s">
        <v>329</v>
      </c>
      <c r="Y68" t="s">
        <v>36</v>
      </c>
      <c r="Z68" t="str">
        <f>"85630"</f>
        <v>85630</v>
      </c>
      <c r="AA68" t="str">
        <f>""</f>
        <v/>
      </c>
      <c r="AB68" t="s">
        <v>40</v>
      </c>
    </row>
    <row r="69" spans="1:28" x14ac:dyDescent="0.25">
      <c r="A69">
        <v>4174</v>
      </c>
      <c r="B69" t="str">
        <f t="shared" ref="B69:B77" si="11">"020227000"</f>
        <v>020227000</v>
      </c>
      <c r="C69" t="s">
        <v>330</v>
      </c>
      <c r="D69">
        <v>0</v>
      </c>
      <c r="E69" t="str">
        <f>""</f>
        <v/>
      </c>
      <c r="G69" t="s">
        <v>29</v>
      </c>
      <c r="H69" t="s">
        <v>331</v>
      </c>
      <c r="I69" t="s">
        <v>332</v>
      </c>
      <c r="J69" t="s">
        <v>333</v>
      </c>
      <c r="K69" t="str">
        <f t="shared" ref="K69:K77" si="12">"5203642447"</f>
        <v>5203642447</v>
      </c>
      <c r="L69" t="str">
        <f t="shared" ref="L69:L77" si="13">"2180"</f>
        <v>2180</v>
      </c>
      <c r="M69" t="str">
        <f>""</f>
        <v/>
      </c>
      <c r="N69" t="str">
        <f>""</f>
        <v/>
      </c>
      <c r="O69" t="s">
        <v>334</v>
      </c>
      <c r="P69" t="s">
        <v>335</v>
      </c>
      <c r="R69" t="s">
        <v>336</v>
      </c>
      <c r="S69" t="s">
        <v>36</v>
      </c>
      <c r="T69" t="str">
        <f t="shared" ref="T69:T77" si="14">"85607"</f>
        <v>85607</v>
      </c>
      <c r="U69" t="str">
        <f>""</f>
        <v/>
      </c>
      <c r="V69" t="s">
        <v>335</v>
      </c>
      <c r="X69" t="s">
        <v>336</v>
      </c>
      <c r="Y69" t="s">
        <v>36</v>
      </c>
      <c r="Z69" t="str">
        <f>"85607"</f>
        <v>85607</v>
      </c>
      <c r="AA69" t="str">
        <f>""</f>
        <v/>
      </c>
      <c r="AB69" t="s">
        <v>156</v>
      </c>
    </row>
    <row r="70" spans="1:28" x14ac:dyDescent="0.25">
      <c r="A70">
        <v>4174</v>
      </c>
      <c r="B70" t="str">
        <f t="shared" si="11"/>
        <v>020227000</v>
      </c>
      <c r="C70" t="s">
        <v>330</v>
      </c>
      <c r="D70">
        <v>4765</v>
      </c>
      <c r="E70" t="str">
        <f>"020227102"</f>
        <v>020227102</v>
      </c>
      <c r="F70" t="s">
        <v>337</v>
      </c>
      <c r="G70" t="s">
        <v>42</v>
      </c>
      <c r="H70" t="s">
        <v>331</v>
      </c>
      <c r="I70" t="s">
        <v>332</v>
      </c>
      <c r="J70" t="s">
        <v>333</v>
      </c>
      <c r="K70" t="str">
        <f t="shared" si="12"/>
        <v>5203642447</v>
      </c>
      <c r="L70" t="str">
        <f t="shared" si="13"/>
        <v>2180</v>
      </c>
      <c r="M70" t="str">
        <f t="shared" ref="M70:M77" si="15">"5208054167"</f>
        <v>5208054167</v>
      </c>
      <c r="N70" t="str">
        <f>""</f>
        <v/>
      </c>
      <c r="O70" t="s">
        <v>338</v>
      </c>
      <c r="P70" t="s">
        <v>339</v>
      </c>
      <c r="R70" t="s">
        <v>336</v>
      </c>
      <c r="S70" t="s">
        <v>36</v>
      </c>
      <c r="T70" t="str">
        <f t="shared" si="14"/>
        <v>85607</v>
      </c>
      <c r="U70" t="str">
        <f>""</f>
        <v/>
      </c>
      <c r="V70" t="s">
        <v>339</v>
      </c>
      <c r="X70" t="s">
        <v>336</v>
      </c>
      <c r="Y70" t="s">
        <v>36</v>
      </c>
      <c r="Z70" t="str">
        <f>"85607"</f>
        <v>85607</v>
      </c>
      <c r="AA70" t="str">
        <f>""</f>
        <v/>
      </c>
      <c r="AB70" t="s">
        <v>156</v>
      </c>
    </row>
    <row r="71" spans="1:28" x14ac:dyDescent="0.25">
      <c r="A71">
        <v>4174</v>
      </c>
      <c r="B71" t="str">
        <f t="shared" si="11"/>
        <v>020227000</v>
      </c>
      <c r="C71" t="s">
        <v>330</v>
      </c>
      <c r="D71">
        <v>4766</v>
      </c>
      <c r="E71" t="str">
        <f>"020227104"</f>
        <v>020227104</v>
      </c>
      <c r="F71" t="s">
        <v>340</v>
      </c>
      <c r="G71" t="s">
        <v>42</v>
      </c>
      <c r="H71" t="s">
        <v>331</v>
      </c>
      <c r="I71" t="s">
        <v>332</v>
      </c>
      <c r="J71" t="s">
        <v>333</v>
      </c>
      <c r="K71" t="str">
        <f t="shared" si="12"/>
        <v>5203642447</v>
      </c>
      <c r="L71" t="str">
        <f t="shared" si="13"/>
        <v>2180</v>
      </c>
      <c r="M71" t="str">
        <f t="shared" si="15"/>
        <v>5208054167</v>
      </c>
      <c r="N71" t="str">
        <f>""</f>
        <v/>
      </c>
      <c r="O71" t="s">
        <v>338</v>
      </c>
      <c r="P71" t="s">
        <v>341</v>
      </c>
      <c r="R71" t="s">
        <v>336</v>
      </c>
      <c r="S71" t="s">
        <v>36</v>
      </c>
      <c r="T71" t="str">
        <f t="shared" si="14"/>
        <v>85607</v>
      </c>
      <c r="U71" t="str">
        <f>""</f>
        <v/>
      </c>
      <c r="V71" t="s">
        <v>342</v>
      </c>
      <c r="X71" t="s">
        <v>336</v>
      </c>
      <c r="Y71" t="s">
        <v>36</v>
      </c>
      <c r="Z71" t="str">
        <f>"85607"</f>
        <v>85607</v>
      </c>
      <c r="AA71" t="str">
        <f>""</f>
        <v/>
      </c>
      <c r="AB71" t="s">
        <v>156</v>
      </c>
    </row>
    <row r="72" spans="1:28" x14ac:dyDescent="0.25">
      <c r="A72">
        <v>4174</v>
      </c>
      <c r="B72" t="str">
        <f t="shared" si="11"/>
        <v>020227000</v>
      </c>
      <c r="C72" t="s">
        <v>330</v>
      </c>
      <c r="D72">
        <v>4767</v>
      </c>
      <c r="E72" t="str">
        <f>"020227105"</f>
        <v>020227105</v>
      </c>
      <c r="F72" t="s">
        <v>343</v>
      </c>
      <c r="G72" t="s">
        <v>42</v>
      </c>
      <c r="H72" t="s">
        <v>331</v>
      </c>
      <c r="I72" t="s">
        <v>332</v>
      </c>
      <c r="J72" t="s">
        <v>333</v>
      </c>
      <c r="K72" t="str">
        <f t="shared" si="12"/>
        <v>5203642447</v>
      </c>
      <c r="L72" t="str">
        <f t="shared" si="13"/>
        <v>2180</v>
      </c>
      <c r="M72" t="str">
        <f t="shared" si="15"/>
        <v>5208054167</v>
      </c>
      <c r="N72" t="str">
        <f>""</f>
        <v/>
      </c>
      <c r="O72" t="s">
        <v>338</v>
      </c>
      <c r="P72" t="s">
        <v>344</v>
      </c>
      <c r="R72" t="s">
        <v>336</v>
      </c>
      <c r="S72" t="s">
        <v>36</v>
      </c>
      <c r="T72" t="str">
        <f t="shared" si="14"/>
        <v>85607</v>
      </c>
      <c r="U72" t="str">
        <f>""</f>
        <v/>
      </c>
      <c r="V72" t="s">
        <v>345</v>
      </c>
      <c r="X72" t="s">
        <v>346</v>
      </c>
      <c r="Y72" t="s">
        <v>36</v>
      </c>
      <c r="Z72" t="str">
        <f>"85626"</f>
        <v>85626</v>
      </c>
      <c r="AA72" t="str">
        <f>""</f>
        <v/>
      </c>
      <c r="AB72" t="s">
        <v>156</v>
      </c>
    </row>
    <row r="73" spans="1:28" x14ac:dyDescent="0.25">
      <c r="A73">
        <v>4174</v>
      </c>
      <c r="B73" t="str">
        <f t="shared" si="11"/>
        <v>020227000</v>
      </c>
      <c r="C73" t="s">
        <v>330</v>
      </c>
      <c r="D73">
        <v>4768</v>
      </c>
      <c r="E73" t="str">
        <f>"020227106"</f>
        <v>020227106</v>
      </c>
      <c r="F73" t="s">
        <v>347</v>
      </c>
      <c r="G73" t="s">
        <v>42</v>
      </c>
      <c r="H73" t="s">
        <v>331</v>
      </c>
      <c r="I73" t="s">
        <v>332</v>
      </c>
      <c r="J73" t="s">
        <v>333</v>
      </c>
      <c r="K73" t="str">
        <f t="shared" si="12"/>
        <v>5203642447</v>
      </c>
      <c r="L73" t="str">
        <f t="shared" si="13"/>
        <v>2180</v>
      </c>
      <c r="M73" t="str">
        <f t="shared" si="15"/>
        <v>5208054167</v>
      </c>
      <c r="N73" t="str">
        <f>""</f>
        <v/>
      </c>
      <c r="O73" t="s">
        <v>338</v>
      </c>
      <c r="P73" t="s">
        <v>344</v>
      </c>
      <c r="R73" t="s">
        <v>336</v>
      </c>
      <c r="S73" t="s">
        <v>36</v>
      </c>
      <c r="T73" t="str">
        <f t="shared" si="14"/>
        <v>85607</v>
      </c>
      <c r="U73" t="str">
        <f>""</f>
        <v/>
      </c>
      <c r="V73" t="s">
        <v>348</v>
      </c>
      <c r="X73" t="s">
        <v>336</v>
      </c>
      <c r="Y73" t="s">
        <v>36</v>
      </c>
      <c r="Z73" t="str">
        <f>"85607"</f>
        <v>85607</v>
      </c>
      <c r="AA73" t="str">
        <f>""</f>
        <v/>
      </c>
      <c r="AB73" t="s">
        <v>156</v>
      </c>
    </row>
    <row r="74" spans="1:28" x14ac:dyDescent="0.25">
      <c r="A74">
        <v>4174</v>
      </c>
      <c r="B74" t="str">
        <f t="shared" si="11"/>
        <v>020227000</v>
      </c>
      <c r="C74" t="s">
        <v>330</v>
      </c>
      <c r="D74">
        <v>4769</v>
      </c>
      <c r="E74" t="str">
        <f>"020227107"</f>
        <v>020227107</v>
      </c>
      <c r="F74" t="s">
        <v>349</v>
      </c>
      <c r="G74" t="s">
        <v>42</v>
      </c>
      <c r="H74" t="s">
        <v>331</v>
      </c>
      <c r="I74" t="s">
        <v>332</v>
      </c>
      <c r="J74" t="s">
        <v>333</v>
      </c>
      <c r="K74" t="str">
        <f t="shared" si="12"/>
        <v>5203642447</v>
      </c>
      <c r="L74" t="str">
        <f t="shared" si="13"/>
        <v>2180</v>
      </c>
      <c r="M74" t="str">
        <f t="shared" si="15"/>
        <v>5208054167</v>
      </c>
      <c r="N74" t="str">
        <f>""</f>
        <v/>
      </c>
      <c r="O74" t="s">
        <v>338</v>
      </c>
      <c r="P74" t="s">
        <v>350</v>
      </c>
      <c r="R74" t="s">
        <v>336</v>
      </c>
      <c r="S74" t="s">
        <v>36</v>
      </c>
      <c r="T74" t="str">
        <f t="shared" si="14"/>
        <v>85607</v>
      </c>
      <c r="U74" t="str">
        <f>""</f>
        <v/>
      </c>
      <c r="V74" t="s">
        <v>350</v>
      </c>
      <c r="X74" t="s">
        <v>336</v>
      </c>
      <c r="Y74" t="s">
        <v>36</v>
      </c>
      <c r="Z74" t="str">
        <f>"85607"</f>
        <v>85607</v>
      </c>
      <c r="AA74" t="str">
        <f>""</f>
        <v/>
      </c>
      <c r="AB74" t="s">
        <v>156</v>
      </c>
    </row>
    <row r="75" spans="1:28" x14ac:dyDescent="0.25">
      <c r="A75">
        <v>4174</v>
      </c>
      <c r="B75" t="str">
        <f t="shared" si="11"/>
        <v>020227000</v>
      </c>
      <c r="C75" t="s">
        <v>330</v>
      </c>
      <c r="D75">
        <v>4770</v>
      </c>
      <c r="E75" t="str">
        <f>"020227108"</f>
        <v>020227108</v>
      </c>
      <c r="F75" t="s">
        <v>351</v>
      </c>
      <c r="G75" t="s">
        <v>42</v>
      </c>
      <c r="H75" t="s">
        <v>331</v>
      </c>
      <c r="I75" t="s">
        <v>332</v>
      </c>
      <c r="J75" t="s">
        <v>333</v>
      </c>
      <c r="K75" t="str">
        <f t="shared" si="12"/>
        <v>5203642447</v>
      </c>
      <c r="L75" t="str">
        <f t="shared" si="13"/>
        <v>2180</v>
      </c>
      <c r="M75" t="str">
        <f t="shared" si="15"/>
        <v>5208054167</v>
      </c>
      <c r="N75" t="str">
        <f>""</f>
        <v/>
      </c>
      <c r="O75" t="s">
        <v>338</v>
      </c>
      <c r="P75" t="s">
        <v>352</v>
      </c>
      <c r="R75" t="s">
        <v>336</v>
      </c>
      <c r="S75" t="s">
        <v>36</v>
      </c>
      <c r="T75" t="str">
        <f t="shared" si="14"/>
        <v>85607</v>
      </c>
      <c r="U75" t="str">
        <f>""</f>
        <v/>
      </c>
      <c r="V75" t="s">
        <v>353</v>
      </c>
      <c r="X75" t="s">
        <v>336</v>
      </c>
      <c r="Y75" t="s">
        <v>36</v>
      </c>
      <c r="Z75" t="str">
        <f>"85607"</f>
        <v>85607</v>
      </c>
      <c r="AA75" t="str">
        <f>""</f>
        <v/>
      </c>
      <c r="AB75" t="s">
        <v>156</v>
      </c>
    </row>
    <row r="76" spans="1:28" x14ac:dyDescent="0.25">
      <c r="A76">
        <v>4174</v>
      </c>
      <c r="B76" t="str">
        <f t="shared" si="11"/>
        <v>020227000</v>
      </c>
      <c r="C76" t="s">
        <v>330</v>
      </c>
      <c r="D76">
        <v>4771</v>
      </c>
      <c r="E76" t="str">
        <f>"020227109"</f>
        <v>020227109</v>
      </c>
      <c r="F76" t="s">
        <v>354</v>
      </c>
      <c r="G76" t="s">
        <v>42</v>
      </c>
      <c r="H76" t="s">
        <v>331</v>
      </c>
      <c r="I76" t="s">
        <v>332</v>
      </c>
      <c r="J76" t="s">
        <v>333</v>
      </c>
      <c r="K76" t="str">
        <f t="shared" si="12"/>
        <v>5203642447</v>
      </c>
      <c r="L76" t="str">
        <f t="shared" si="13"/>
        <v>2180</v>
      </c>
      <c r="M76" t="str">
        <f t="shared" si="15"/>
        <v>5208054167</v>
      </c>
      <c r="N76" t="str">
        <f>""</f>
        <v/>
      </c>
      <c r="O76" t="s">
        <v>338</v>
      </c>
      <c r="P76" t="s">
        <v>352</v>
      </c>
      <c r="R76" t="s">
        <v>336</v>
      </c>
      <c r="S76" t="s">
        <v>36</v>
      </c>
      <c r="T76" t="str">
        <f t="shared" si="14"/>
        <v>85607</v>
      </c>
      <c r="U76" t="str">
        <f>""</f>
        <v/>
      </c>
      <c r="V76" t="s">
        <v>355</v>
      </c>
      <c r="X76" t="s">
        <v>336</v>
      </c>
      <c r="Y76" t="s">
        <v>36</v>
      </c>
      <c r="Z76" t="str">
        <f>"85607"</f>
        <v>85607</v>
      </c>
      <c r="AA76" t="str">
        <f>""</f>
        <v/>
      </c>
      <c r="AB76" t="s">
        <v>156</v>
      </c>
    </row>
    <row r="77" spans="1:28" x14ac:dyDescent="0.25">
      <c r="A77">
        <v>4174</v>
      </c>
      <c r="B77" t="str">
        <f t="shared" si="11"/>
        <v>020227000</v>
      </c>
      <c r="C77" t="s">
        <v>330</v>
      </c>
      <c r="D77">
        <v>4773</v>
      </c>
      <c r="E77" t="str">
        <f>"020227210"</f>
        <v>020227210</v>
      </c>
      <c r="F77" t="s">
        <v>356</v>
      </c>
      <c r="G77" t="s">
        <v>42</v>
      </c>
      <c r="H77" t="s">
        <v>331</v>
      </c>
      <c r="I77" t="s">
        <v>332</v>
      </c>
      <c r="J77" t="s">
        <v>333</v>
      </c>
      <c r="K77" t="str">
        <f t="shared" si="12"/>
        <v>5203642447</v>
      </c>
      <c r="L77" t="str">
        <f t="shared" si="13"/>
        <v>2180</v>
      </c>
      <c r="M77" t="str">
        <f t="shared" si="15"/>
        <v>5208054167</v>
      </c>
      <c r="N77" t="str">
        <f>""</f>
        <v/>
      </c>
      <c r="O77" t="s">
        <v>357</v>
      </c>
      <c r="P77" t="s">
        <v>352</v>
      </c>
      <c r="R77" t="s">
        <v>336</v>
      </c>
      <c r="S77" t="s">
        <v>36</v>
      </c>
      <c r="T77" t="str">
        <f t="shared" si="14"/>
        <v>85607</v>
      </c>
      <c r="U77" t="str">
        <f>""</f>
        <v/>
      </c>
      <c r="V77" t="s">
        <v>358</v>
      </c>
      <c r="X77" t="s">
        <v>336</v>
      </c>
      <c r="Y77" t="s">
        <v>36</v>
      </c>
      <c r="Z77" t="str">
        <f>"85607"</f>
        <v>85607</v>
      </c>
      <c r="AA77" t="str">
        <f>""</f>
        <v/>
      </c>
      <c r="AB77" t="s">
        <v>156</v>
      </c>
    </row>
    <row r="78" spans="1:28" x14ac:dyDescent="0.25">
      <c r="A78">
        <v>4175</v>
      </c>
      <c r="B78" t="str">
        <f t="shared" ref="B78:B86" si="16">"020268000"</f>
        <v>020268000</v>
      </c>
      <c r="C78" t="s">
        <v>359</v>
      </c>
      <c r="D78">
        <v>0</v>
      </c>
      <c r="E78" t="str">
        <f>""</f>
        <v/>
      </c>
      <c r="G78" t="s">
        <v>29</v>
      </c>
      <c r="H78" t="s">
        <v>360</v>
      </c>
      <c r="I78" t="s">
        <v>361</v>
      </c>
      <c r="J78" t="s">
        <v>362</v>
      </c>
      <c r="K78" t="str">
        <f>"5205152728"</f>
        <v>5205152728</v>
      </c>
      <c r="L78" t="str">
        <f>""</f>
        <v/>
      </c>
      <c r="M78" t="str">
        <f>"5205152744"</f>
        <v>5205152744</v>
      </c>
      <c r="N78" t="str">
        <f>""</f>
        <v/>
      </c>
      <c r="O78" t="s">
        <v>363</v>
      </c>
      <c r="P78" t="s">
        <v>364</v>
      </c>
      <c r="R78" t="s">
        <v>365</v>
      </c>
      <c r="S78" t="s">
        <v>36</v>
      </c>
      <c r="T78" t="str">
        <f>"85635"</f>
        <v>85635</v>
      </c>
      <c r="U78" t="str">
        <f>""</f>
        <v/>
      </c>
      <c r="V78" t="s">
        <v>364</v>
      </c>
      <c r="X78" t="s">
        <v>365</v>
      </c>
      <c r="Y78" t="s">
        <v>36</v>
      </c>
      <c r="Z78" t="str">
        <f>"85635"</f>
        <v>85635</v>
      </c>
      <c r="AA78" t="str">
        <f>""</f>
        <v/>
      </c>
      <c r="AB78" t="s">
        <v>56</v>
      </c>
    </row>
    <row r="79" spans="1:28" x14ac:dyDescent="0.25">
      <c r="A79">
        <v>4175</v>
      </c>
      <c r="B79" t="str">
        <f t="shared" si="16"/>
        <v>020268000</v>
      </c>
      <c r="C79" t="s">
        <v>359</v>
      </c>
      <c r="D79">
        <v>4775</v>
      </c>
      <c r="E79" t="str">
        <f>"020268110"</f>
        <v>020268110</v>
      </c>
      <c r="F79" t="s">
        <v>366</v>
      </c>
      <c r="G79" t="s">
        <v>42</v>
      </c>
      <c r="H79" t="s">
        <v>367</v>
      </c>
      <c r="I79" t="s">
        <v>368</v>
      </c>
      <c r="J79" t="s">
        <v>369</v>
      </c>
      <c r="K79" t="str">
        <f>"5205152020"</f>
        <v>5205152020</v>
      </c>
      <c r="L79" t="str">
        <f>""</f>
        <v/>
      </c>
      <c r="M79" t="str">
        <f>""</f>
        <v/>
      </c>
      <c r="N79" t="str">
        <f>""</f>
        <v/>
      </c>
      <c r="O79" t="s">
        <v>370</v>
      </c>
      <c r="P79" t="s">
        <v>371</v>
      </c>
      <c r="R79" t="s">
        <v>365</v>
      </c>
      <c r="S79" t="s">
        <v>36</v>
      </c>
      <c r="T79" t="str">
        <f>"85635"</f>
        <v>85635</v>
      </c>
      <c r="U79" t="str">
        <f>""</f>
        <v/>
      </c>
      <c r="V79" t="s">
        <v>371</v>
      </c>
      <c r="X79" t="s">
        <v>365</v>
      </c>
      <c r="Y79" t="s">
        <v>36</v>
      </c>
      <c r="Z79" t="str">
        <f>"85635"</f>
        <v>85635</v>
      </c>
      <c r="AA79" t="str">
        <f>""</f>
        <v/>
      </c>
      <c r="AB79" t="s">
        <v>56</v>
      </c>
    </row>
    <row r="80" spans="1:28" x14ac:dyDescent="0.25">
      <c r="A80">
        <v>4175</v>
      </c>
      <c r="B80" t="str">
        <f t="shared" si="16"/>
        <v>020268000</v>
      </c>
      <c r="C80" t="s">
        <v>359</v>
      </c>
      <c r="D80">
        <v>4776</v>
      </c>
      <c r="E80" t="str">
        <f>"020268115"</f>
        <v>020268115</v>
      </c>
      <c r="F80" t="s">
        <v>372</v>
      </c>
      <c r="G80" t="s">
        <v>42</v>
      </c>
      <c r="H80" t="s">
        <v>373</v>
      </c>
      <c r="I80" t="s">
        <v>374</v>
      </c>
      <c r="J80" t="s">
        <v>369</v>
      </c>
      <c r="K80" t="str">
        <f>"5205158141"</f>
        <v>5205158141</v>
      </c>
      <c r="L80" t="str">
        <f>""</f>
        <v/>
      </c>
      <c r="M80" t="str">
        <f>"5205152990"</f>
        <v>5205152990</v>
      </c>
      <c r="N80" t="str">
        <f>""</f>
        <v/>
      </c>
      <c r="O80" t="s">
        <v>375</v>
      </c>
      <c r="P80" t="s">
        <v>376</v>
      </c>
      <c r="R80" t="s">
        <v>365</v>
      </c>
      <c r="S80" t="s">
        <v>36</v>
      </c>
      <c r="T80" t="str">
        <f>"85635"</f>
        <v>85635</v>
      </c>
      <c r="U80" t="str">
        <f>""</f>
        <v/>
      </c>
      <c r="V80" t="s">
        <v>376</v>
      </c>
      <c r="X80" t="s">
        <v>365</v>
      </c>
      <c r="Y80" t="s">
        <v>36</v>
      </c>
      <c r="Z80" t="str">
        <f>"85635"</f>
        <v>85635</v>
      </c>
      <c r="AA80" t="str">
        <f>""</f>
        <v/>
      </c>
      <c r="AB80" t="s">
        <v>56</v>
      </c>
    </row>
    <row r="81" spans="1:28" x14ac:dyDescent="0.25">
      <c r="A81">
        <v>4175</v>
      </c>
      <c r="B81" t="str">
        <f t="shared" si="16"/>
        <v>020268000</v>
      </c>
      <c r="C81" t="s">
        <v>359</v>
      </c>
      <c r="D81">
        <v>4777</v>
      </c>
      <c r="E81" t="str">
        <f>"020268120"</f>
        <v>020268120</v>
      </c>
      <c r="F81" t="s">
        <v>377</v>
      </c>
      <c r="G81" t="s">
        <v>42</v>
      </c>
      <c r="H81" t="s">
        <v>378</v>
      </c>
      <c r="I81" t="s">
        <v>379</v>
      </c>
      <c r="J81" t="s">
        <v>369</v>
      </c>
      <c r="K81" t="str">
        <f>"5205152969"</f>
        <v>5205152969</v>
      </c>
      <c r="L81" t="str">
        <f>""</f>
        <v/>
      </c>
      <c r="M81" t="str">
        <f>""</f>
        <v/>
      </c>
      <c r="N81" t="str">
        <f>""</f>
        <v/>
      </c>
      <c r="O81" t="s">
        <v>380</v>
      </c>
      <c r="P81" t="s">
        <v>381</v>
      </c>
      <c r="R81" t="s">
        <v>365</v>
      </c>
      <c r="S81" t="s">
        <v>36</v>
      </c>
      <c r="T81" t="str">
        <f>"85365"</f>
        <v>85365</v>
      </c>
      <c r="U81" t="str">
        <f>""</f>
        <v/>
      </c>
      <c r="V81" t="s">
        <v>381</v>
      </c>
      <c r="X81" t="s">
        <v>365</v>
      </c>
      <c r="Y81" t="s">
        <v>36</v>
      </c>
      <c r="Z81" t="str">
        <f>"85365"</f>
        <v>85365</v>
      </c>
      <c r="AA81" t="str">
        <f>""</f>
        <v/>
      </c>
      <c r="AB81" t="s">
        <v>56</v>
      </c>
    </row>
    <row r="82" spans="1:28" x14ac:dyDescent="0.25">
      <c r="A82">
        <v>4175</v>
      </c>
      <c r="B82" t="str">
        <f t="shared" si="16"/>
        <v>020268000</v>
      </c>
      <c r="C82" t="s">
        <v>359</v>
      </c>
      <c r="D82">
        <v>4778</v>
      </c>
      <c r="E82" t="str">
        <f>"020268125"</f>
        <v>020268125</v>
      </c>
      <c r="F82" t="s">
        <v>382</v>
      </c>
      <c r="G82" t="s">
        <v>42</v>
      </c>
      <c r="H82" t="s">
        <v>383</v>
      </c>
      <c r="I82" t="s">
        <v>384</v>
      </c>
      <c r="J82" t="s">
        <v>369</v>
      </c>
      <c r="K82" t="str">
        <f>"5205158261"</f>
        <v>5205158261</v>
      </c>
      <c r="L82" t="str">
        <f>""</f>
        <v/>
      </c>
      <c r="M82" t="str">
        <f>"5205152970"</f>
        <v>5205152970</v>
      </c>
      <c r="N82" t="str">
        <f>""</f>
        <v/>
      </c>
      <c r="O82" t="s">
        <v>385</v>
      </c>
      <c r="P82" t="s">
        <v>386</v>
      </c>
      <c r="R82" t="s">
        <v>365</v>
      </c>
      <c r="S82" t="s">
        <v>36</v>
      </c>
      <c r="T82" t="str">
        <f>"85635"</f>
        <v>85635</v>
      </c>
      <c r="U82" t="str">
        <f>""</f>
        <v/>
      </c>
      <c r="V82" t="s">
        <v>386</v>
      </c>
      <c r="X82" t="s">
        <v>365</v>
      </c>
      <c r="Y82" t="s">
        <v>36</v>
      </c>
      <c r="Z82" t="str">
        <f>"85635"</f>
        <v>85635</v>
      </c>
      <c r="AA82" t="str">
        <f>""</f>
        <v/>
      </c>
      <c r="AB82" t="s">
        <v>56</v>
      </c>
    </row>
    <row r="83" spans="1:28" x14ac:dyDescent="0.25">
      <c r="A83">
        <v>4175</v>
      </c>
      <c r="B83" t="str">
        <f t="shared" si="16"/>
        <v>020268000</v>
      </c>
      <c r="C83" t="s">
        <v>359</v>
      </c>
      <c r="D83">
        <v>4779</v>
      </c>
      <c r="E83" t="str">
        <f>"020268130"</f>
        <v>020268130</v>
      </c>
      <c r="F83" t="s">
        <v>387</v>
      </c>
      <c r="G83" t="s">
        <v>42</v>
      </c>
      <c r="H83" t="s">
        <v>388</v>
      </c>
      <c r="I83" t="s">
        <v>389</v>
      </c>
      <c r="J83" t="s">
        <v>369</v>
      </c>
      <c r="K83" t="str">
        <f>"5205152981"</f>
        <v>5205152981</v>
      </c>
      <c r="L83" t="str">
        <f>""</f>
        <v/>
      </c>
      <c r="M83" t="str">
        <f>"5205152985"</f>
        <v>5205152985</v>
      </c>
      <c r="N83" t="str">
        <f>""</f>
        <v/>
      </c>
      <c r="O83" t="s">
        <v>390</v>
      </c>
      <c r="P83" t="s">
        <v>391</v>
      </c>
      <c r="R83" t="s">
        <v>365</v>
      </c>
      <c r="S83" t="s">
        <v>36</v>
      </c>
      <c r="T83" t="str">
        <f>"85635"</f>
        <v>85635</v>
      </c>
      <c r="U83" t="str">
        <f>""</f>
        <v/>
      </c>
      <c r="V83" t="s">
        <v>391</v>
      </c>
      <c r="X83" t="s">
        <v>365</v>
      </c>
      <c r="Y83" t="s">
        <v>36</v>
      </c>
      <c r="Z83" t="str">
        <f>"85635"</f>
        <v>85635</v>
      </c>
      <c r="AA83" t="str">
        <f>""</f>
        <v/>
      </c>
      <c r="AB83" t="s">
        <v>56</v>
      </c>
    </row>
    <row r="84" spans="1:28" x14ac:dyDescent="0.25">
      <c r="A84">
        <v>4175</v>
      </c>
      <c r="B84" t="str">
        <f t="shared" si="16"/>
        <v>020268000</v>
      </c>
      <c r="C84" t="s">
        <v>359</v>
      </c>
      <c r="D84">
        <v>4780</v>
      </c>
      <c r="E84" t="str">
        <f>"020268135"</f>
        <v>020268135</v>
      </c>
      <c r="F84" t="s">
        <v>392</v>
      </c>
      <c r="G84" t="s">
        <v>42</v>
      </c>
      <c r="H84" t="s">
        <v>393</v>
      </c>
      <c r="I84" t="s">
        <v>394</v>
      </c>
      <c r="J84" t="s">
        <v>369</v>
      </c>
      <c r="K84" t="str">
        <f>"5205152926"</f>
        <v>5205152926</v>
      </c>
      <c r="L84" t="str">
        <f>""</f>
        <v/>
      </c>
      <c r="M84" t="str">
        <f>""</f>
        <v/>
      </c>
      <c r="N84" t="str">
        <f>""</f>
        <v/>
      </c>
      <c r="O84" t="s">
        <v>395</v>
      </c>
      <c r="P84" t="s">
        <v>396</v>
      </c>
      <c r="R84" t="s">
        <v>365</v>
      </c>
      <c r="S84" t="s">
        <v>36</v>
      </c>
      <c r="T84" t="str">
        <f>"85635"</f>
        <v>85635</v>
      </c>
      <c r="U84" t="str">
        <f>""</f>
        <v/>
      </c>
      <c r="V84" t="s">
        <v>396</v>
      </c>
      <c r="X84" t="s">
        <v>365</v>
      </c>
      <c r="Y84" t="s">
        <v>36</v>
      </c>
      <c r="Z84" t="str">
        <f>"85635"</f>
        <v>85635</v>
      </c>
      <c r="AA84" t="str">
        <f>""</f>
        <v/>
      </c>
      <c r="AB84" t="s">
        <v>56</v>
      </c>
    </row>
    <row r="85" spans="1:28" x14ac:dyDescent="0.25">
      <c r="A85">
        <v>4175</v>
      </c>
      <c r="B85" t="str">
        <f t="shared" si="16"/>
        <v>020268000</v>
      </c>
      <c r="C85" t="s">
        <v>359</v>
      </c>
      <c r="D85">
        <v>4781</v>
      </c>
      <c r="E85" t="str">
        <f>"020268150"</f>
        <v>020268150</v>
      </c>
      <c r="F85" t="s">
        <v>397</v>
      </c>
      <c r="G85" t="s">
        <v>42</v>
      </c>
      <c r="H85" t="s">
        <v>398</v>
      </c>
      <c r="I85" t="s">
        <v>399</v>
      </c>
      <c r="J85" t="s">
        <v>369</v>
      </c>
      <c r="K85" t="str">
        <f>"5205158210"</f>
        <v>5205158210</v>
      </c>
      <c r="L85" t="str">
        <f>""</f>
        <v/>
      </c>
      <c r="M85" t="str">
        <f>"5205152941"</f>
        <v>5205152941</v>
      </c>
      <c r="N85" t="str">
        <f>""</f>
        <v/>
      </c>
      <c r="O85" t="s">
        <v>400</v>
      </c>
      <c r="P85" t="s">
        <v>401</v>
      </c>
      <c r="R85" t="s">
        <v>365</v>
      </c>
      <c r="S85" t="s">
        <v>36</v>
      </c>
      <c r="T85" t="str">
        <f>"85635"</f>
        <v>85635</v>
      </c>
      <c r="U85" t="str">
        <f>""</f>
        <v/>
      </c>
      <c r="V85" t="s">
        <v>401</v>
      </c>
      <c r="X85" t="s">
        <v>365</v>
      </c>
      <c r="Y85" t="s">
        <v>36</v>
      </c>
      <c r="Z85" t="str">
        <f>"85635"</f>
        <v>85635</v>
      </c>
      <c r="AA85" t="str">
        <f>""</f>
        <v/>
      </c>
      <c r="AB85" t="s">
        <v>56</v>
      </c>
    </row>
    <row r="86" spans="1:28" x14ac:dyDescent="0.25">
      <c r="A86">
        <v>4175</v>
      </c>
      <c r="B86" t="str">
        <f t="shared" si="16"/>
        <v>020268000</v>
      </c>
      <c r="C86" t="s">
        <v>359</v>
      </c>
      <c r="D86">
        <v>4783</v>
      </c>
      <c r="E86" t="str">
        <f>"020268260"</f>
        <v>020268260</v>
      </c>
      <c r="F86" t="s">
        <v>402</v>
      </c>
      <c r="G86" t="s">
        <v>42</v>
      </c>
      <c r="H86" t="s">
        <v>403</v>
      </c>
      <c r="I86" t="s">
        <v>404</v>
      </c>
      <c r="J86" t="s">
        <v>405</v>
      </c>
      <c r="K86" t="str">
        <f>"5205152846"</f>
        <v>5205152846</v>
      </c>
      <c r="L86" t="str">
        <f>""</f>
        <v/>
      </c>
      <c r="M86" t="str">
        <f>""</f>
        <v/>
      </c>
      <c r="N86" t="str">
        <f>""</f>
        <v/>
      </c>
      <c r="O86" t="s">
        <v>406</v>
      </c>
      <c r="P86" t="s">
        <v>407</v>
      </c>
      <c r="R86" t="s">
        <v>365</v>
      </c>
      <c r="S86" t="s">
        <v>36</v>
      </c>
      <c r="T86" t="str">
        <f>"85635"</f>
        <v>85635</v>
      </c>
      <c r="U86" t="str">
        <f>""</f>
        <v/>
      </c>
      <c r="V86" t="s">
        <v>407</v>
      </c>
      <c r="X86" t="s">
        <v>365</v>
      </c>
      <c r="Y86" t="s">
        <v>36</v>
      </c>
      <c r="Z86" t="str">
        <f>"85635"</f>
        <v>85635</v>
      </c>
      <c r="AA86" t="str">
        <f>""</f>
        <v/>
      </c>
      <c r="AB86" t="s">
        <v>56</v>
      </c>
    </row>
    <row r="87" spans="1:28" x14ac:dyDescent="0.25">
      <c r="A87">
        <v>4176</v>
      </c>
      <c r="B87" t="str">
        <f>"020323000"</f>
        <v>020323000</v>
      </c>
      <c r="C87" t="s">
        <v>408</v>
      </c>
      <c r="D87">
        <v>0</v>
      </c>
      <c r="E87" t="str">
        <f>""</f>
        <v/>
      </c>
      <c r="G87" t="s">
        <v>29</v>
      </c>
      <c r="H87" t="s">
        <v>409</v>
      </c>
      <c r="I87" t="s">
        <v>399</v>
      </c>
      <c r="J87" t="s">
        <v>195</v>
      </c>
      <c r="K87" t="str">
        <f>"5204325060"</f>
        <v>5204325060</v>
      </c>
      <c r="L87" t="str">
        <f>"304"</f>
        <v>304</v>
      </c>
      <c r="M87" t="str">
        <f>"5204324161"</f>
        <v>5204324161</v>
      </c>
      <c r="N87" t="str">
        <f>""</f>
        <v/>
      </c>
      <c r="O87" t="s">
        <v>410</v>
      </c>
      <c r="P87" t="s">
        <v>411</v>
      </c>
      <c r="R87" t="s">
        <v>412</v>
      </c>
      <c r="S87" t="s">
        <v>36</v>
      </c>
      <c r="T87" t="str">
        <f>"85620"</f>
        <v>85620</v>
      </c>
      <c r="U87" t="str">
        <f>""</f>
        <v/>
      </c>
      <c r="V87" t="s">
        <v>413</v>
      </c>
      <c r="X87" t="s">
        <v>412</v>
      </c>
      <c r="Y87" t="s">
        <v>36</v>
      </c>
      <c r="Z87" t="str">
        <f>"85620"</f>
        <v>85620</v>
      </c>
      <c r="AA87" t="str">
        <f>""</f>
        <v/>
      </c>
      <c r="AB87" t="s">
        <v>282</v>
      </c>
    </row>
    <row r="88" spans="1:28" x14ac:dyDescent="0.25">
      <c r="A88">
        <v>4176</v>
      </c>
      <c r="B88" t="str">
        <f>"020323000"</f>
        <v>020323000</v>
      </c>
      <c r="C88" t="s">
        <v>408</v>
      </c>
      <c r="D88">
        <v>4784</v>
      </c>
      <c r="E88" t="str">
        <f>"020323001"</f>
        <v>020323001</v>
      </c>
      <c r="F88" t="s">
        <v>414</v>
      </c>
      <c r="G88" t="s">
        <v>42</v>
      </c>
      <c r="H88" t="s">
        <v>409</v>
      </c>
      <c r="I88" t="s">
        <v>399</v>
      </c>
      <c r="J88" t="s">
        <v>32</v>
      </c>
      <c r="K88" t="str">
        <f>"5204325060"</f>
        <v>5204325060</v>
      </c>
      <c r="L88" t="str">
        <f>"304"</f>
        <v>304</v>
      </c>
      <c r="M88" t="str">
        <f>"5204324161"</f>
        <v>5204324161</v>
      </c>
      <c r="N88" t="str">
        <f>""</f>
        <v/>
      </c>
      <c r="O88" t="s">
        <v>410</v>
      </c>
      <c r="P88" t="s">
        <v>411</v>
      </c>
      <c r="R88" t="s">
        <v>412</v>
      </c>
      <c r="S88" t="s">
        <v>36</v>
      </c>
      <c r="T88" t="str">
        <f>"85620"</f>
        <v>85620</v>
      </c>
      <c r="U88" t="str">
        <f>""</f>
        <v/>
      </c>
      <c r="V88" t="s">
        <v>413</v>
      </c>
      <c r="X88" t="s">
        <v>412</v>
      </c>
      <c r="Y88" t="s">
        <v>36</v>
      </c>
      <c r="Z88" t="str">
        <f>"85620"</f>
        <v>85620</v>
      </c>
      <c r="AA88" t="str">
        <f>""</f>
        <v/>
      </c>
      <c r="AB88" t="s">
        <v>282</v>
      </c>
    </row>
    <row r="89" spans="1:28" x14ac:dyDescent="0.25">
      <c r="A89">
        <v>4177</v>
      </c>
      <c r="B89" t="str">
        <f>"020326000"</f>
        <v>020326000</v>
      </c>
      <c r="C89" t="s">
        <v>415</v>
      </c>
      <c r="D89">
        <v>0</v>
      </c>
      <c r="E89" t="str">
        <f>""</f>
        <v/>
      </c>
      <c r="G89" t="s">
        <v>29</v>
      </c>
      <c r="H89" t="s">
        <v>416</v>
      </c>
      <c r="I89" t="s">
        <v>417</v>
      </c>
      <c r="J89" t="s">
        <v>195</v>
      </c>
      <c r="K89" t="str">
        <f>"5203842540"</f>
        <v>5203842540</v>
      </c>
      <c r="L89" t="str">
        <f>"23"</f>
        <v>23</v>
      </c>
      <c r="M89" t="str">
        <f>"5203844836"</f>
        <v>5203844836</v>
      </c>
      <c r="N89" t="str">
        <f>""</f>
        <v/>
      </c>
      <c r="O89" t="s">
        <v>418</v>
      </c>
      <c r="P89" t="s">
        <v>419</v>
      </c>
      <c r="R89" t="s">
        <v>420</v>
      </c>
      <c r="S89" t="s">
        <v>36</v>
      </c>
      <c r="T89" t="str">
        <f>"85606"</f>
        <v>85606</v>
      </c>
      <c r="U89" t="str">
        <f>"1088"</f>
        <v>1088</v>
      </c>
      <c r="V89" t="s">
        <v>421</v>
      </c>
      <c r="X89" t="s">
        <v>420</v>
      </c>
      <c r="Y89" t="s">
        <v>36</v>
      </c>
      <c r="Z89" t="str">
        <f>"85606"</f>
        <v>85606</v>
      </c>
      <c r="AA89" t="str">
        <f>"1088"</f>
        <v>1088</v>
      </c>
      <c r="AB89" t="s">
        <v>282</v>
      </c>
    </row>
    <row r="90" spans="1:28" x14ac:dyDescent="0.25">
      <c r="A90">
        <v>4177</v>
      </c>
      <c r="B90" t="str">
        <f>"020326000"</f>
        <v>020326000</v>
      </c>
      <c r="C90" t="s">
        <v>415</v>
      </c>
      <c r="D90">
        <v>4785</v>
      </c>
      <c r="E90" t="str">
        <f>"020326101"</f>
        <v>020326101</v>
      </c>
      <c r="F90" t="s">
        <v>422</v>
      </c>
      <c r="G90" t="s">
        <v>42</v>
      </c>
      <c r="H90" t="s">
        <v>416</v>
      </c>
      <c r="I90" t="s">
        <v>417</v>
      </c>
      <c r="J90" t="s">
        <v>195</v>
      </c>
      <c r="K90" t="str">
        <f>"5203842540"</f>
        <v>5203842540</v>
      </c>
      <c r="L90" t="str">
        <f>"23"</f>
        <v>23</v>
      </c>
      <c r="M90" t="str">
        <f>"5203844836"</f>
        <v>5203844836</v>
      </c>
      <c r="N90" t="str">
        <f>""</f>
        <v/>
      </c>
      <c r="O90" t="s">
        <v>418</v>
      </c>
      <c r="P90" t="s">
        <v>419</v>
      </c>
      <c r="R90" t="s">
        <v>420</v>
      </c>
      <c r="S90" t="s">
        <v>36</v>
      </c>
      <c r="T90" t="str">
        <f>"85606"</f>
        <v>85606</v>
      </c>
      <c r="U90" t="str">
        <f>"1088"</f>
        <v>1088</v>
      </c>
      <c r="V90" t="s">
        <v>421</v>
      </c>
      <c r="X90" t="s">
        <v>420</v>
      </c>
      <c r="Y90" t="s">
        <v>36</v>
      </c>
      <c r="Z90" t="str">
        <f>"85606"</f>
        <v>85606</v>
      </c>
      <c r="AA90" t="str">
        <f>"1088"</f>
        <v>1088</v>
      </c>
      <c r="AB90" t="s">
        <v>282</v>
      </c>
    </row>
    <row r="91" spans="1:28" x14ac:dyDescent="0.25">
      <c r="A91">
        <v>4180</v>
      </c>
      <c r="B91" t="str">
        <f>"020349000"</f>
        <v>020349000</v>
      </c>
      <c r="C91" t="s">
        <v>423</v>
      </c>
      <c r="D91">
        <v>0</v>
      </c>
      <c r="E91" t="str">
        <f>""</f>
        <v/>
      </c>
      <c r="G91" t="s">
        <v>29</v>
      </c>
      <c r="H91" t="s">
        <v>424</v>
      </c>
      <c r="I91" t="s">
        <v>425</v>
      </c>
      <c r="J91" t="s">
        <v>426</v>
      </c>
      <c r="K91" t="str">
        <f>"5203780616"</f>
        <v>5203780616</v>
      </c>
      <c r="L91" t="str">
        <f>"200"</f>
        <v>200</v>
      </c>
      <c r="M91" t="str">
        <f>""</f>
        <v/>
      </c>
      <c r="N91" t="str">
        <f>""</f>
        <v/>
      </c>
      <c r="O91" t="s">
        <v>427</v>
      </c>
      <c r="P91" t="s">
        <v>317</v>
      </c>
      <c r="R91" t="s">
        <v>428</v>
      </c>
      <c r="S91" t="s">
        <v>36</v>
      </c>
      <c r="T91" t="str">
        <f>"85615"</f>
        <v>85615</v>
      </c>
      <c r="U91" t="str">
        <f>""</f>
        <v/>
      </c>
      <c r="V91" t="s">
        <v>429</v>
      </c>
      <c r="X91" t="s">
        <v>428</v>
      </c>
      <c r="Y91" t="s">
        <v>36</v>
      </c>
      <c r="Z91" t="str">
        <f>"85615"</f>
        <v>85615</v>
      </c>
      <c r="AA91" t="str">
        <f>""</f>
        <v/>
      </c>
      <c r="AB91" t="s">
        <v>40</v>
      </c>
    </row>
    <row r="92" spans="1:28" x14ac:dyDescent="0.25">
      <c r="A92">
        <v>4180</v>
      </c>
      <c r="B92" t="str">
        <f>"020349000"</f>
        <v>020349000</v>
      </c>
      <c r="C92" t="s">
        <v>423</v>
      </c>
      <c r="D92">
        <v>4788</v>
      </c>
      <c r="E92" t="str">
        <f>"020349101"</f>
        <v>020349101</v>
      </c>
      <c r="F92" t="s">
        <v>430</v>
      </c>
      <c r="G92" t="s">
        <v>42</v>
      </c>
      <c r="H92" t="s">
        <v>431</v>
      </c>
      <c r="I92" t="s">
        <v>110</v>
      </c>
      <c r="J92" t="s">
        <v>432</v>
      </c>
      <c r="K92" t="str">
        <f>"5203666204"</f>
        <v>5203666204</v>
      </c>
      <c r="L92" t="str">
        <f>"300"</f>
        <v>300</v>
      </c>
      <c r="M92" t="str">
        <f>""</f>
        <v/>
      </c>
      <c r="N92" t="str">
        <f>""</f>
        <v/>
      </c>
      <c r="O92" t="s">
        <v>433</v>
      </c>
      <c r="P92" t="s">
        <v>317</v>
      </c>
      <c r="R92" t="s">
        <v>428</v>
      </c>
      <c r="S92" t="s">
        <v>36</v>
      </c>
      <c r="T92" t="str">
        <f>"85615"</f>
        <v>85615</v>
      </c>
      <c r="U92" t="str">
        <f>""</f>
        <v/>
      </c>
      <c r="V92" t="s">
        <v>434</v>
      </c>
      <c r="X92" t="s">
        <v>428</v>
      </c>
      <c r="Y92" t="s">
        <v>36</v>
      </c>
      <c r="Z92" t="str">
        <f>"85615"</f>
        <v>85615</v>
      </c>
      <c r="AA92" t="str">
        <f>""</f>
        <v/>
      </c>
      <c r="AB92" t="s">
        <v>40</v>
      </c>
    </row>
    <row r="93" spans="1:28" x14ac:dyDescent="0.25">
      <c r="A93">
        <v>4180</v>
      </c>
      <c r="B93" t="str">
        <f>"020349000"</f>
        <v>020349000</v>
      </c>
      <c r="C93" t="s">
        <v>423</v>
      </c>
      <c r="D93">
        <v>4789</v>
      </c>
      <c r="E93" t="str">
        <f>"020349102"</f>
        <v>020349102</v>
      </c>
      <c r="F93" t="s">
        <v>41</v>
      </c>
      <c r="G93" t="s">
        <v>42</v>
      </c>
      <c r="H93" t="s">
        <v>435</v>
      </c>
      <c r="I93" t="s">
        <v>436</v>
      </c>
      <c r="J93" t="s">
        <v>437</v>
      </c>
      <c r="K93" t="str">
        <f>"5203666618"</f>
        <v>5203666618</v>
      </c>
      <c r="L93" t="str">
        <f>""</f>
        <v/>
      </c>
      <c r="M93" t="str">
        <f>""</f>
        <v/>
      </c>
      <c r="N93" t="str">
        <f>""</f>
        <v/>
      </c>
      <c r="O93" t="s">
        <v>438</v>
      </c>
      <c r="P93" t="s">
        <v>439</v>
      </c>
      <c r="R93" t="s">
        <v>428</v>
      </c>
      <c r="S93" t="s">
        <v>36</v>
      </c>
      <c r="T93" t="str">
        <f>"85615"</f>
        <v>85615</v>
      </c>
      <c r="U93" t="str">
        <f>""</f>
        <v/>
      </c>
      <c r="V93" t="s">
        <v>440</v>
      </c>
      <c r="X93" t="s">
        <v>365</v>
      </c>
      <c r="Y93" t="s">
        <v>36</v>
      </c>
      <c r="Z93" t="str">
        <f>"85650"</f>
        <v>85650</v>
      </c>
      <c r="AA93" t="str">
        <f>""</f>
        <v/>
      </c>
      <c r="AB93" t="s">
        <v>40</v>
      </c>
    </row>
    <row r="94" spans="1:28" x14ac:dyDescent="0.25">
      <c r="A94">
        <v>4180</v>
      </c>
      <c r="B94" t="str">
        <f>"020349000"</f>
        <v>020349000</v>
      </c>
      <c r="C94" t="s">
        <v>423</v>
      </c>
      <c r="D94">
        <v>78914</v>
      </c>
      <c r="E94" t="str">
        <f>"020349103"</f>
        <v>020349103</v>
      </c>
      <c r="F94" t="s">
        <v>441</v>
      </c>
      <c r="G94" t="s">
        <v>42</v>
      </c>
      <c r="H94" t="s">
        <v>442</v>
      </c>
      <c r="I94" t="s">
        <v>443</v>
      </c>
      <c r="J94" t="s">
        <v>437</v>
      </c>
      <c r="K94" t="str">
        <f>"5203665508"</f>
        <v>5203665508</v>
      </c>
      <c r="L94" t="str">
        <f>"40608"</f>
        <v>40608</v>
      </c>
      <c r="M94" t="str">
        <f>""</f>
        <v/>
      </c>
      <c r="N94" t="str">
        <f>""</f>
        <v/>
      </c>
      <c r="O94" t="s">
        <v>444</v>
      </c>
      <c r="P94" t="s">
        <v>317</v>
      </c>
      <c r="R94" t="s">
        <v>428</v>
      </c>
      <c r="S94" t="s">
        <v>36</v>
      </c>
      <c r="T94" t="str">
        <f>"85615"</f>
        <v>85615</v>
      </c>
      <c r="U94" t="str">
        <f>""</f>
        <v/>
      </c>
      <c r="V94" t="s">
        <v>445</v>
      </c>
      <c r="X94" t="s">
        <v>428</v>
      </c>
      <c r="Y94" t="s">
        <v>36</v>
      </c>
      <c r="Z94" t="str">
        <f>"85615"</f>
        <v>85615</v>
      </c>
      <c r="AA94" t="str">
        <f>""</f>
        <v/>
      </c>
      <c r="AB94" t="s">
        <v>40</v>
      </c>
    </row>
    <row r="95" spans="1:28" x14ac:dyDescent="0.25">
      <c r="A95">
        <v>4181</v>
      </c>
      <c r="B95" t="str">
        <f>"020355000"</f>
        <v>020355000</v>
      </c>
      <c r="C95" t="s">
        <v>446</v>
      </c>
      <c r="D95">
        <v>0</v>
      </c>
      <c r="E95" t="str">
        <f>""</f>
        <v/>
      </c>
      <c r="G95" t="s">
        <v>29</v>
      </c>
      <c r="H95" t="s">
        <v>447</v>
      </c>
      <c r="I95" t="s">
        <v>448</v>
      </c>
      <c r="J95" t="s">
        <v>449</v>
      </c>
      <c r="K95" t="str">
        <f>"5206421071"</f>
        <v>5206421071</v>
      </c>
      <c r="L95" t="str">
        <f>""</f>
        <v/>
      </c>
      <c r="M95" t="str">
        <f>"5206423356"</f>
        <v>5206423356</v>
      </c>
      <c r="N95" t="str">
        <f>""</f>
        <v/>
      </c>
      <c r="O95" t="s">
        <v>450</v>
      </c>
      <c r="P95" t="s">
        <v>451</v>
      </c>
      <c r="R95" t="s">
        <v>452</v>
      </c>
      <c r="S95" t="s">
        <v>36</v>
      </c>
      <c r="T95" t="str">
        <f>"85617"</f>
        <v>85617</v>
      </c>
      <c r="U95" t="str">
        <f>""</f>
        <v/>
      </c>
      <c r="V95" t="s">
        <v>453</v>
      </c>
      <c r="X95" t="s">
        <v>452</v>
      </c>
      <c r="Y95" t="s">
        <v>36</v>
      </c>
      <c r="Z95" t="str">
        <f>"85617"</f>
        <v>85617</v>
      </c>
      <c r="AA95" t="str">
        <f>""</f>
        <v/>
      </c>
      <c r="AB95" t="s">
        <v>249</v>
      </c>
    </row>
    <row r="96" spans="1:28" x14ac:dyDescent="0.25">
      <c r="A96">
        <v>4181</v>
      </c>
      <c r="B96" t="str">
        <f>"020355000"</f>
        <v>020355000</v>
      </c>
      <c r="C96" t="s">
        <v>446</v>
      </c>
      <c r="D96">
        <v>4790</v>
      </c>
      <c r="E96" t="str">
        <f>"020355001"</f>
        <v>020355001</v>
      </c>
      <c r="F96" t="s">
        <v>454</v>
      </c>
      <c r="G96" t="s">
        <v>42</v>
      </c>
      <c r="H96" t="s">
        <v>455</v>
      </c>
      <c r="I96" t="s">
        <v>456</v>
      </c>
      <c r="J96" t="s">
        <v>195</v>
      </c>
      <c r="K96" t="str">
        <f>"5206421071"</f>
        <v>5206421071</v>
      </c>
      <c r="L96" t="str">
        <f>"27"</f>
        <v>27</v>
      </c>
      <c r="M96" t="str">
        <f>"5206423356"</f>
        <v>5206423356</v>
      </c>
      <c r="N96" t="str">
        <f>""</f>
        <v/>
      </c>
      <c r="O96" t="s">
        <v>457</v>
      </c>
      <c r="P96" t="s">
        <v>451</v>
      </c>
      <c r="R96" t="s">
        <v>452</v>
      </c>
      <c r="S96" t="s">
        <v>36</v>
      </c>
      <c r="T96" t="str">
        <f>"85617"</f>
        <v>85617</v>
      </c>
      <c r="U96" t="str">
        <f>""</f>
        <v/>
      </c>
      <c r="V96" t="s">
        <v>453</v>
      </c>
      <c r="X96" t="s">
        <v>452</v>
      </c>
      <c r="Y96" t="s">
        <v>36</v>
      </c>
      <c r="Z96" t="str">
        <f>"85617"</f>
        <v>85617</v>
      </c>
      <c r="AA96" t="str">
        <f>""</f>
        <v/>
      </c>
      <c r="AB96" t="s">
        <v>249</v>
      </c>
    </row>
    <row r="97" spans="1:28" x14ac:dyDescent="0.25">
      <c r="A97">
        <v>4185</v>
      </c>
      <c r="B97" t="str">
        <f>"020412000"</f>
        <v>020412000</v>
      </c>
      <c r="C97" t="s">
        <v>458</v>
      </c>
      <c r="D97">
        <v>0</v>
      </c>
      <c r="E97" t="str">
        <f>""</f>
        <v/>
      </c>
      <c r="G97" t="s">
        <v>29</v>
      </c>
      <c r="H97" t="s">
        <v>210</v>
      </c>
      <c r="I97" t="s">
        <v>459</v>
      </c>
      <c r="J97" t="s">
        <v>315</v>
      </c>
      <c r="K97" t="str">
        <f>"5206423428"</f>
        <v>5206423428</v>
      </c>
      <c r="L97" t="str">
        <f>""</f>
        <v/>
      </c>
      <c r="M97" t="str">
        <f>"5206423236"</f>
        <v>5206423236</v>
      </c>
      <c r="N97" t="str">
        <f>""</f>
        <v/>
      </c>
      <c r="O97" t="s">
        <v>460</v>
      </c>
      <c r="P97" t="s">
        <v>461</v>
      </c>
      <c r="R97" t="s">
        <v>462</v>
      </c>
      <c r="S97" t="s">
        <v>36</v>
      </c>
      <c r="T97" t="str">
        <f>"85610"</f>
        <v>85610</v>
      </c>
      <c r="U97" t="str">
        <f>""</f>
        <v/>
      </c>
      <c r="V97" t="s">
        <v>463</v>
      </c>
      <c r="X97" t="s">
        <v>464</v>
      </c>
      <c r="Y97" t="s">
        <v>36</v>
      </c>
      <c r="Z97" t="str">
        <f>"85610"</f>
        <v>85610</v>
      </c>
      <c r="AA97" t="str">
        <f>""</f>
        <v/>
      </c>
      <c r="AB97" t="s">
        <v>465</v>
      </c>
    </row>
    <row r="98" spans="1:28" x14ac:dyDescent="0.25">
      <c r="A98">
        <v>4185</v>
      </c>
      <c r="B98" t="str">
        <f>"020412000"</f>
        <v>020412000</v>
      </c>
      <c r="C98" t="s">
        <v>458</v>
      </c>
      <c r="D98">
        <v>4795</v>
      </c>
      <c r="E98" t="str">
        <f>"020412101"</f>
        <v>020412101</v>
      </c>
      <c r="F98" t="s">
        <v>466</v>
      </c>
      <c r="G98" t="s">
        <v>42</v>
      </c>
      <c r="H98" t="s">
        <v>467</v>
      </c>
      <c r="I98" t="s">
        <v>110</v>
      </c>
      <c r="J98" t="s">
        <v>468</v>
      </c>
      <c r="K98" t="str">
        <f>"5206423428"</f>
        <v>5206423428</v>
      </c>
      <c r="L98" t="str">
        <f>""</f>
        <v/>
      </c>
      <c r="M98" t="str">
        <f>"5206423236"</f>
        <v>5206423236</v>
      </c>
      <c r="N98" t="str">
        <f>""</f>
        <v/>
      </c>
      <c r="O98" t="s">
        <v>469</v>
      </c>
      <c r="P98" t="s">
        <v>470</v>
      </c>
      <c r="R98" t="s">
        <v>462</v>
      </c>
      <c r="S98" t="s">
        <v>36</v>
      </c>
      <c r="T98" t="str">
        <f>"85610"</f>
        <v>85610</v>
      </c>
      <c r="U98" t="str">
        <f>""</f>
        <v/>
      </c>
      <c r="V98" t="s">
        <v>463</v>
      </c>
      <c r="X98" t="s">
        <v>462</v>
      </c>
      <c r="Y98" t="s">
        <v>36</v>
      </c>
      <c r="Z98" t="str">
        <f>"85610"</f>
        <v>85610</v>
      </c>
      <c r="AA98" t="str">
        <f>""</f>
        <v/>
      </c>
      <c r="AB98" t="s">
        <v>465</v>
      </c>
    </row>
    <row r="99" spans="1:28" x14ac:dyDescent="0.25">
      <c r="A99">
        <v>4186</v>
      </c>
      <c r="B99" t="str">
        <f>"020422000"</f>
        <v>020422000</v>
      </c>
      <c r="C99" t="s">
        <v>471</v>
      </c>
      <c r="D99">
        <v>0</v>
      </c>
      <c r="E99" t="str">
        <f>""</f>
        <v/>
      </c>
      <c r="G99" t="s">
        <v>29</v>
      </c>
      <c r="H99" t="s">
        <v>472</v>
      </c>
      <c r="I99" t="s">
        <v>473</v>
      </c>
      <c r="J99" t="s">
        <v>474</v>
      </c>
      <c r="K99" t="str">
        <f>"5208263328"</f>
        <v>5208263328</v>
      </c>
      <c r="L99" t="str">
        <f>""</f>
        <v/>
      </c>
      <c r="M99" t="str">
        <f>"5208263531"</f>
        <v>5208263531</v>
      </c>
      <c r="N99" t="str">
        <f>""</f>
        <v/>
      </c>
      <c r="O99" t="s">
        <v>475</v>
      </c>
      <c r="P99" t="s">
        <v>476</v>
      </c>
      <c r="R99" t="s">
        <v>477</v>
      </c>
      <c r="S99" t="s">
        <v>36</v>
      </c>
      <c r="T99" t="str">
        <f>"85625"</f>
        <v>85625</v>
      </c>
      <c r="U99" t="str">
        <f>""</f>
        <v/>
      </c>
      <c r="V99" t="s">
        <v>478</v>
      </c>
      <c r="X99" t="s">
        <v>477</v>
      </c>
      <c r="Y99" t="s">
        <v>36</v>
      </c>
      <c r="Z99" t="str">
        <f>"85625"</f>
        <v>85625</v>
      </c>
      <c r="AA99" t="str">
        <f>""</f>
        <v/>
      </c>
      <c r="AB99" t="s">
        <v>86</v>
      </c>
    </row>
    <row r="100" spans="1:28" x14ac:dyDescent="0.25">
      <c r="A100">
        <v>4186</v>
      </c>
      <c r="B100" t="str">
        <f>"020422000"</f>
        <v>020422000</v>
      </c>
      <c r="C100" t="s">
        <v>471</v>
      </c>
      <c r="D100">
        <v>4796</v>
      </c>
      <c r="E100" t="str">
        <f>"020422001"</f>
        <v>020422001</v>
      </c>
      <c r="F100" t="s">
        <v>479</v>
      </c>
      <c r="G100" t="s">
        <v>42</v>
      </c>
      <c r="H100" t="s">
        <v>166</v>
      </c>
      <c r="I100" t="s">
        <v>480</v>
      </c>
      <c r="J100" t="s">
        <v>481</v>
      </c>
      <c r="K100" t="str">
        <f>"5208263328"</f>
        <v>5208263328</v>
      </c>
      <c r="L100" t="str">
        <f>""</f>
        <v/>
      </c>
      <c r="M100" t="str">
        <f>"5208263531"</f>
        <v>5208263531</v>
      </c>
      <c r="N100" t="str">
        <f>""</f>
        <v/>
      </c>
      <c r="O100" t="s">
        <v>482</v>
      </c>
      <c r="P100" t="s">
        <v>476</v>
      </c>
      <c r="R100" t="s">
        <v>477</v>
      </c>
      <c r="S100" t="s">
        <v>36</v>
      </c>
      <c r="T100" t="str">
        <f>"85625"</f>
        <v>85625</v>
      </c>
      <c r="U100" t="str">
        <f>""</f>
        <v/>
      </c>
      <c r="V100" t="s">
        <v>483</v>
      </c>
      <c r="X100" t="s">
        <v>477</v>
      </c>
      <c r="Y100" t="s">
        <v>36</v>
      </c>
      <c r="Z100" t="str">
        <f>"85625"</f>
        <v>85625</v>
      </c>
      <c r="AA100" t="str">
        <f>""</f>
        <v/>
      </c>
      <c r="AB100" t="s">
        <v>86</v>
      </c>
    </row>
    <row r="101" spans="1:28" x14ac:dyDescent="0.25">
      <c r="A101">
        <v>4187</v>
      </c>
      <c r="B101" t="str">
        <f>"020453000"</f>
        <v>020453000</v>
      </c>
      <c r="C101" t="s">
        <v>484</v>
      </c>
      <c r="D101">
        <v>0</v>
      </c>
      <c r="E101" t="str">
        <f>""</f>
        <v/>
      </c>
      <c r="G101" t="s">
        <v>29</v>
      </c>
      <c r="H101" t="s">
        <v>260</v>
      </c>
      <c r="I101" t="s">
        <v>485</v>
      </c>
      <c r="J101" t="s">
        <v>486</v>
      </c>
      <c r="K101" t="str">
        <f>"5208243340"</f>
        <v>5208243340</v>
      </c>
      <c r="L101" t="str">
        <f>"102"</f>
        <v>102</v>
      </c>
      <c r="M101" t="str">
        <f>""</f>
        <v/>
      </c>
      <c r="N101" t="str">
        <f>""</f>
        <v/>
      </c>
      <c r="O101" t="s">
        <v>487</v>
      </c>
      <c r="P101" t="s">
        <v>488</v>
      </c>
      <c r="R101" t="s">
        <v>477</v>
      </c>
      <c r="S101" t="s">
        <v>36</v>
      </c>
      <c r="T101" t="str">
        <f>"85625"</f>
        <v>85625</v>
      </c>
      <c r="U101" t="str">
        <f>""</f>
        <v/>
      </c>
      <c r="V101" t="s">
        <v>488</v>
      </c>
      <c r="X101" t="s">
        <v>477</v>
      </c>
      <c r="Y101" t="s">
        <v>36</v>
      </c>
      <c r="Z101" t="str">
        <f>"85625"</f>
        <v>85625</v>
      </c>
      <c r="AA101" t="str">
        <f>""</f>
        <v/>
      </c>
      <c r="AB101" t="s">
        <v>86</v>
      </c>
    </row>
    <row r="102" spans="1:28" x14ac:dyDescent="0.25">
      <c r="A102">
        <v>4187</v>
      </c>
      <c r="B102" t="str">
        <f>"020453000"</f>
        <v>020453000</v>
      </c>
      <c r="C102" t="s">
        <v>484</v>
      </c>
      <c r="D102">
        <v>4797</v>
      </c>
      <c r="E102" t="str">
        <f>"020453101"</f>
        <v>020453101</v>
      </c>
      <c r="F102" t="s">
        <v>489</v>
      </c>
      <c r="G102" t="s">
        <v>42</v>
      </c>
      <c r="H102" t="s">
        <v>260</v>
      </c>
      <c r="I102" t="s">
        <v>485</v>
      </c>
      <c r="J102" t="s">
        <v>486</v>
      </c>
      <c r="K102" t="str">
        <f>"5208243340"</f>
        <v>5208243340</v>
      </c>
      <c r="L102" t="str">
        <f>"102"</f>
        <v>102</v>
      </c>
      <c r="M102" t="str">
        <f>"5208243410"</f>
        <v>5208243410</v>
      </c>
      <c r="N102" t="str">
        <f>""</f>
        <v/>
      </c>
      <c r="O102" t="s">
        <v>487</v>
      </c>
      <c r="P102" t="s">
        <v>488</v>
      </c>
      <c r="R102" t="s">
        <v>477</v>
      </c>
      <c r="S102" t="s">
        <v>36</v>
      </c>
      <c r="T102" t="str">
        <f>"85625"</f>
        <v>85625</v>
      </c>
      <c r="U102" t="str">
        <f>""</f>
        <v/>
      </c>
      <c r="V102" t="s">
        <v>488</v>
      </c>
      <c r="X102" t="s">
        <v>477</v>
      </c>
      <c r="Y102" t="s">
        <v>36</v>
      </c>
      <c r="Z102" t="str">
        <f>"85625"</f>
        <v>85625</v>
      </c>
      <c r="AA102" t="str">
        <f>""</f>
        <v/>
      </c>
      <c r="AB102" t="s">
        <v>86</v>
      </c>
    </row>
    <row r="103" spans="1:28" x14ac:dyDescent="0.25">
      <c r="A103">
        <v>4188</v>
      </c>
      <c r="B103" t="str">
        <f>"020364000"</f>
        <v>020364000</v>
      </c>
      <c r="C103" t="s">
        <v>490</v>
      </c>
      <c r="D103">
        <v>0</v>
      </c>
      <c r="E103" t="str">
        <f>""</f>
        <v/>
      </c>
      <c r="G103" t="s">
        <v>29</v>
      </c>
      <c r="H103" t="s">
        <v>491</v>
      </c>
      <c r="I103" t="s">
        <v>492</v>
      </c>
      <c r="J103" t="s">
        <v>493</v>
      </c>
      <c r="K103" t="str">
        <f>"5205862407"</f>
        <v>5205862407</v>
      </c>
      <c r="L103" t="str">
        <f>"314"</f>
        <v>314</v>
      </c>
      <c r="M103" t="str">
        <f>"5205867724"</f>
        <v>5205867724</v>
      </c>
      <c r="N103" t="str">
        <f>""</f>
        <v/>
      </c>
      <c r="O103" t="s">
        <v>494</v>
      </c>
      <c r="P103" t="s">
        <v>495</v>
      </c>
      <c r="R103" t="s">
        <v>496</v>
      </c>
      <c r="S103" t="s">
        <v>36</v>
      </c>
      <c r="T103" t="str">
        <f>"85627"</f>
        <v>85627</v>
      </c>
      <c r="U103" t="str">
        <f>"0007"</f>
        <v>0007</v>
      </c>
      <c r="V103" t="s">
        <v>497</v>
      </c>
      <c r="X103" t="s">
        <v>498</v>
      </c>
      <c r="Y103" t="s">
        <v>36</v>
      </c>
      <c r="Z103" t="str">
        <f>"85602"</f>
        <v>85602</v>
      </c>
      <c r="AA103" t="str">
        <f>"0007"</f>
        <v>0007</v>
      </c>
      <c r="AB103" t="s">
        <v>40</v>
      </c>
    </row>
    <row r="104" spans="1:28" x14ac:dyDescent="0.25">
      <c r="A104">
        <v>4188</v>
      </c>
      <c r="B104" t="str">
        <f>"020364000"</f>
        <v>020364000</v>
      </c>
      <c r="C104" t="s">
        <v>490</v>
      </c>
      <c r="D104">
        <v>4798</v>
      </c>
      <c r="E104" t="str">
        <f>"020364101"</f>
        <v>020364101</v>
      </c>
      <c r="F104" t="s">
        <v>499</v>
      </c>
      <c r="G104" t="s">
        <v>42</v>
      </c>
      <c r="H104" t="s">
        <v>491</v>
      </c>
      <c r="I104" t="s">
        <v>492</v>
      </c>
      <c r="J104" t="s">
        <v>493</v>
      </c>
      <c r="K104" t="str">
        <f>"5205862407"</f>
        <v>5205862407</v>
      </c>
      <c r="L104" t="str">
        <f>"314"</f>
        <v>314</v>
      </c>
      <c r="M104" t="str">
        <f>"5205867724"</f>
        <v>5205867724</v>
      </c>
      <c r="N104" t="str">
        <f>""</f>
        <v/>
      </c>
      <c r="O104" t="s">
        <v>494</v>
      </c>
      <c r="P104" t="s">
        <v>500</v>
      </c>
      <c r="R104" t="s">
        <v>496</v>
      </c>
      <c r="S104" t="s">
        <v>36</v>
      </c>
      <c r="T104" t="str">
        <f>"85627"</f>
        <v>85627</v>
      </c>
      <c r="U104" t="str">
        <f>"0007"</f>
        <v>0007</v>
      </c>
      <c r="V104" t="s">
        <v>501</v>
      </c>
      <c r="X104" t="s">
        <v>496</v>
      </c>
      <c r="Y104" t="s">
        <v>36</v>
      </c>
      <c r="Z104" t="str">
        <f>"85627"</f>
        <v>85627</v>
      </c>
      <c r="AA104" t="str">
        <f>"0007"</f>
        <v>0007</v>
      </c>
      <c r="AB104" t="s">
        <v>40</v>
      </c>
    </row>
    <row r="105" spans="1:28" x14ac:dyDescent="0.25">
      <c r="A105">
        <v>4190</v>
      </c>
      <c r="B105" t="str">
        <f>"020522000"</f>
        <v>020522000</v>
      </c>
      <c r="C105" t="s">
        <v>502</v>
      </c>
      <c r="D105">
        <v>0</v>
      </c>
      <c r="E105" t="str">
        <f>""</f>
        <v/>
      </c>
      <c r="G105" t="s">
        <v>29</v>
      </c>
      <c r="H105" t="s">
        <v>503</v>
      </c>
      <c r="I105" t="s">
        <v>504</v>
      </c>
      <c r="J105" t="s">
        <v>195</v>
      </c>
      <c r="K105" t="str">
        <f>"5206423492"</f>
        <v>5206423492</v>
      </c>
      <c r="L105" t="str">
        <f>"240"</f>
        <v>240</v>
      </c>
      <c r="M105" t="str">
        <f>""</f>
        <v/>
      </c>
      <c r="N105" t="str">
        <f>""</f>
        <v/>
      </c>
      <c r="O105" t="s">
        <v>505</v>
      </c>
      <c r="P105" t="s">
        <v>506</v>
      </c>
      <c r="R105" t="s">
        <v>462</v>
      </c>
      <c r="S105" t="s">
        <v>36</v>
      </c>
      <c r="T105" t="str">
        <f>"85610"</f>
        <v>85610</v>
      </c>
      <c r="U105" t="str">
        <f>"0158"</f>
        <v>0158</v>
      </c>
      <c r="V105" t="s">
        <v>507</v>
      </c>
      <c r="X105" t="s">
        <v>462</v>
      </c>
      <c r="Y105" t="s">
        <v>36</v>
      </c>
      <c r="Z105" t="str">
        <f>"85610"</f>
        <v>85610</v>
      </c>
      <c r="AA105" t="str">
        <f>""</f>
        <v/>
      </c>
      <c r="AB105" t="s">
        <v>508</v>
      </c>
    </row>
    <row r="106" spans="1:28" x14ac:dyDescent="0.25">
      <c r="A106">
        <v>4190</v>
      </c>
      <c r="B106" t="str">
        <f>"020522000"</f>
        <v>020522000</v>
      </c>
      <c r="C106" t="s">
        <v>502</v>
      </c>
      <c r="D106">
        <v>4800</v>
      </c>
      <c r="E106" t="str">
        <f>"020522201"</f>
        <v>020522201</v>
      </c>
      <c r="F106" t="s">
        <v>509</v>
      </c>
      <c r="G106" t="s">
        <v>42</v>
      </c>
      <c r="H106" t="s">
        <v>503</v>
      </c>
      <c r="I106" t="s">
        <v>504</v>
      </c>
      <c r="J106" t="s">
        <v>195</v>
      </c>
      <c r="K106" t="str">
        <f>"5206423492"</f>
        <v>5206423492</v>
      </c>
      <c r="L106" t="str">
        <f>"227"</f>
        <v>227</v>
      </c>
      <c r="M106" t="str">
        <f>"5206423523"</f>
        <v>5206423523</v>
      </c>
      <c r="N106" t="str">
        <f>""</f>
        <v/>
      </c>
      <c r="O106" t="s">
        <v>505</v>
      </c>
      <c r="P106" t="s">
        <v>506</v>
      </c>
      <c r="R106" t="s">
        <v>462</v>
      </c>
      <c r="S106" t="s">
        <v>36</v>
      </c>
      <c r="T106" t="str">
        <f>"85610"</f>
        <v>85610</v>
      </c>
      <c r="U106" t="str">
        <f>"0158"</f>
        <v>0158</v>
      </c>
      <c r="V106" t="s">
        <v>507</v>
      </c>
      <c r="X106" t="s">
        <v>462</v>
      </c>
      <c r="Y106" t="s">
        <v>36</v>
      </c>
      <c r="Z106" t="str">
        <f>"85610"</f>
        <v>85610</v>
      </c>
      <c r="AA106" t="str">
        <f>""</f>
        <v/>
      </c>
      <c r="AB106" t="s">
        <v>508</v>
      </c>
    </row>
    <row r="107" spans="1:28" x14ac:dyDescent="0.25">
      <c r="A107">
        <v>4191</v>
      </c>
      <c r="B107" t="str">
        <f t="shared" ref="B107:B112" si="17">"028750000"</f>
        <v>028750000</v>
      </c>
      <c r="C107" t="s">
        <v>510</v>
      </c>
      <c r="D107">
        <v>0</v>
      </c>
      <c r="E107" t="str">
        <f>""</f>
        <v/>
      </c>
      <c r="G107" t="s">
        <v>29</v>
      </c>
      <c r="H107" t="s">
        <v>511</v>
      </c>
      <c r="I107" t="s">
        <v>512</v>
      </c>
      <c r="J107" t="s">
        <v>513</v>
      </c>
      <c r="K107" t="str">
        <f>"5204393593"</f>
        <v>5204393593</v>
      </c>
      <c r="L107" t="str">
        <f>""</f>
        <v/>
      </c>
      <c r="M107" t="str">
        <f>"5208051549"</f>
        <v>5208051549</v>
      </c>
      <c r="N107" t="str">
        <f>""</f>
        <v/>
      </c>
      <c r="O107" t="s">
        <v>514</v>
      </c>
      <c r="P107" t="s">
        <v>515</v>
      </c>
      <c r="R107" t="s">
        <v>336</v>
      </c>
      <c r="S107" t="s">
        <v>36</v>
      </c>
      <c r="T107" t="str">
        <f>"85607"</f>
        <v>85607</v>
      </c>
      <c r="U107" t="str">
        <f>""</f>
        <v/>
      </c>
      <c r="V107" t="s">
        <v>515</v>
      </c>
      <c r="X107" t="s">
        <v>336</v>
      </c>
      <c r="Y107" t="s">
        <v>36</v>
      </c>
      <c r="Z107" t="str">
        <f>"85607"</f>
        <v>85607</v>
      </c>
      <c r="AA107" t="str">
        <f>""</f>
        <v/>
      </c>
      <c r="AB107" t="s">
        <v>516</v>
      </c>
    </row>
    <row r="108" spans="1:28" x14ac:dyDescent="0.25">
      <c r="A108">
        <v>4191</v>
      </c>
      <c r="B108" t="str">
        <f t="shared" si="17"/>
        <v>028750000</v>
      </c>
      <c r="C108" t="s">
        <v>510</v>
      </c>
      <c r="D108">
        <v>4801</v>
      </c>
      <c r="E108" t="str">
        <f>"028750201"</f>
        <v>028750201</v>
      </c>
      <c r="F108" t="s">
        <v>517</v>
      </c>
      <c r="G108" t="s">
        <v>42</v>
      </c>
      <c r="H108" t="s">
        <v>518</v>
      </c>
      <c r="I108" t="s">
        <v>519</v>
      </c>
      <c r="J108" t="s">
        <v>520</v>
      </c>
      <c r="K108" t="str">
        <f>"5204393535"</f>
        <v>5204393535</v>
      </c>
      <c r="L108" t="str">
        <f>""</f>
        <v/>
      </c>
      <c r="M108" t="str">
        <f>"5204586396"</f>
        <v>5204586396</v>
      </c>
      <c r="N108" t="str">
        <f>""</f>
        <v/>
      </c>
      <c r="O108" t="s">
        <v>521</v>
      </c>
      <c r="P108" t="s">
        <v>522</v>
      </c>
      <c r="R108" t="s">
        <v>365</v>
      </c>
      <c r="S108" t="s">
        <v>36</v>
      </c>
      <c r="T108" t="str">
        <f>"85635"</f>
        <v>85635</v>
      </c>
      <c r="U108" t="str">
        <f>""</f>
        <v/>
      </c>
      <c r="V108" t="s">
        <v>522</v>
      </c>
      <c r="X108" t="s">
        <v>365</v>
      </c>
      <c r="Y108" t="s">
        <v>36</v>
      </c>
      <c r="Z108" t="str">
        <f>"85635"</f>
        <v>85635</v>
      </c>
      <c r="AA108" t="str">
        <f>""</f>
        <v/>
      </c>
      <c r="AB108" t="s">
        <v>516</v>
      </c>
    </row>
    <row r="109" spans="1:28" x14ac:dyDescent="0.25">
      <c r="A109">
        <v>4191</v>
      </c>
      <c r="B109" t="str">
        <f t="shared" si="17"/>
        <v>028750000</v>
      </c>
      <c r="C109" t="s">
        <v>510</v>
      </c>
      <c r="D109">
        <v>4802</v>
      </c>
      <c r="E109" t="str">
        <f>"028750202"</f>
        <v>028750202</v>
      </c>
      <c r="F109" t="s">
        <v>523</v>
      </c>
      <c r="G109" t="s">
        <v>42</v>
      </c>
      <c r="H109" t="s">
        <v>524</v>
      </c>
      <c r="I109" t="s">
        <v>525</v>
      </c>
      <c r="J109" t="s">
        <v>526</v>
      </c>
      <c r="K109" t="str">
        <f>"5203642616"</f>
        <v>5203642616</v>
      </c>
      <c r="L109" t="str">
        <f>""</f>
        <v/>
      </c>
      <c r="M109" t="str">
        <f>"5208050973"</f>
        <v>5208050973</v>
      </c>
      <c r="N109" t="str">
        <f>""</f>
        <v/>
      </c>
      <c r="O109" t="s">
        <v>527</v>
      </c>
      <c r="P109" t="s">
        <v>528</v>
      </c>
      <c r="R109" t="s">
        <v>336</v>
      </c>
      <c r="S109" t="s">
        <v>36</v>
      </c>
      <c r="T109" t="str">
        <f>"85607"</f>
        <v>85607</v>
      </c>
      <c r="U109" t="str">
        <f>""</f>
        <v/>
      </c>
      <c r="V109" t="s">
        <v>528</v>
      </c>
      <c r="X109" t="s">
        <v>336</v>
      </c>
      <c r="Y109" t="s">
        <v>36</v>
      </c>
      <c r="Z109" t="str">
        <f>"85607"</f>
        <v>85607</v>
      </c>
      <c r="AA109" t="str">
        <f>""</f>
        <v/>
      </c>
      <c r="AB109" t="s">
        <v>516</v>
      </c>
    </row>
    <row r="110" spans="1:28" x14ac:dyDescent="0.25">
      <c r="A110">
        <v>4191</v>
      </c>
      <c r="B110" t="str">
        <f t="shared" si="17"/>
        <v>028750000</v>
      </c>
      <c r="C110" t="s">
        <v>510</v>
      </c>
      <c r="D110">
        <v>79039</v>
      </c>
      <c r="E110" t="str">
        <f>"028750203"</f>
        <v>028750203</v>
      </c>
      <c r="F110" t="s">
        <v>529</v>
      </c>
      <c r="G110" t="s">
        <v>42</v>
      </c>
      <c r="H110" t="s">
        <v>530</v>
      </c>
      <c r="I110" t="s">
        <v>531</v>
      </c>
      <c r="J110" t="s">
        <v>295</v>
      </c>
      <c r="K110" t="str">
        <f>"5208801558"</f>
        <v>5208801558</v>
      </c>
      <c r="L110" t="str">
        <f>""</f>
        <v/>
      </c>
      <c r="M110" t="str">
        <f>"5208051549"</f>
        <v>5208051549</v>
      </c>
      <c r="N110" t="str">
        <f>""</f>
        <v/>
      </c>
      <c r="O110" t="s">
        <v>532</v>
      </c>
      <c r="P110" t="s">
        <v>533</v>
      </c>
      <c r="R110" t="s">
        <v>336</v>
      </c>
      <c r="S110" t="s">
        <v>36</v>
      </c>
      <c r="T110" t="str">
        <f>"85607"</f>
        <v>85607</v>
      </c>
      <c r="U110" t="str">
        <f>""</f>
        <v/>
      </c>
      <c r="V110" t="s">
        <v>534</v>
      </c>
      <c r="X110" t="s">
        <v>336</v>
      </c>
      <c r="Y110" t="s">
        <v>36</v>
      </c>
      <c r="Z110" t="str">
        <f>"85607"</f>
        <v>85607</v>
      </c>
      <c r="AA110" t="str">
        <f>""</f>
        <v/>
      </c>
      <c r="AB110" t="s">
        <v>516</v>
      </c>
    </row>
    <row r="111" spans="1:28" x14ac:dyDescent="0.25">
      <c r="A111">
        <v>4191</v>
      </c>
      <c r="B111" t="str">
        <f t="shared" si="17"/>
        <v>028750000</v>
      </c>
      <c r="C111" t="s">
        <v>510</v>
      </c>
      <c r="D111">
        <v>85876</v>
      </c>
      <c r="E111" t="str">
        <f>"028750204"</f>
        <v>028750204</v>
      </c>
      <c r="F111" t="s">
        <v>535</v>
      </c>
      <c r="G111" t="s">
        <v>42</v>
      </c>
      <c r="H111" t="s">
        <v>511</v>
      </c>
      <c r="I111" t="s">
        <v>512</v>
      </c>
      <c r="J111" t="s">
        <v>536</v>
      </c>
      <c r="K111" t="str">
        <f>"5208051558"</f>
        <v>5208051558</v>
      </c>
      <c r="L111" t="str">
        <f>""</f>
        <v/>
      </c>
      <c r="M111" t="str">
        <f>"5208051549"</f>
        <v>5208051549</v>
      </c>
      <c r="N111" t="str">
        <f>""</f>
        <v/>
      </c>
      <c r="O111" t="s">
        <v>537</v>
      </c>
      <c r="P111" t="s">
        <v>538</v>
      </c>
      <c r="R111" t="s">
        <v>336</v>
      </c>
      <c r="S111" t="s">
        <v>36</v>
      </c>
      <c r="T111" t="str">
        <f>"85607"</f>
        <v>85607</v>
      </c>
      <c r="U111" t="str">
        <f>""</f>
        <v/>
      </c>
      <c r="V111" t="s">
        <v>538</v>
      </c>
      <c r="X111" t="s">
        <v>336</v>
      </c>
      <c r="Y111" t="s">
        <v>36</v>
      </c>
      <c r="Z111" t="str">
        <f>"85607"</f>
        <v>85607</v>
      </c>
      <c r="AA111" t="str">
        <f>""</f>
        <v/>
      </c>
      <c r="AB111" t="s">
        <v>516</v>
      </c>
    </row>
    <row r="112" spans="1:28" x14ac:dyDescent="0.25">
      <c r="A112">
        <v>4191</v>
      </c>
      <c r="B112" t="str">
        <f t="shared" si="17"/>
        <v>028750000</v>
      </c>
      <c r="C112" t="s">
        <v>510</v>
      </c>
      <c r="D112">
        <v>85877</v>
      </c>
      <c r="E112" t="str">
        <f>"028750205"</f>
        <v>028750205</v>
      </c>
      <c r="F112" t="s">
        <v>539</v>
      </c>
      <c r="G112" t="s">
        <v>42</v>
      </c>
      <c r="H112" t="s">
        <v>518</v>
      </c>
      <c r="I112" t="s">
        <v>519</v>
      </c>
      <c r="J112" t="s">
        <v>540</v>
      </c>
      <c r="K112" t="str">
        <f>"5204593535"</f>
        <v>5204593535</v>
      </c>
      <c r="L112" t="str">
        <f>""</f>
        <v/>
      </c>
      <c r="M112" t="str">
        <f>"5204597243"</f>
        <v>5204597243</v>
      </c>
      <c r="N112" t="str">
        <f>""</f>
        <v/>
      </c>
      <c r="O112" t="s">
        <v>521</v>
      </c>
      <c r="P112" t="s">
        <v>522</v>
      </c>
      <c r="R112" t="s">
        <v>365</v>
      </c>
      <c r="S112" t="s">
        <v>36</v>
      </c>
      <c r="T112" t="str">
        <f>"85635"</f>
        <v>85635</v>
      </c>
      <c r="U112" t="str">
        <f>""</f>
        <v/>
      </c>
      <c r="V112" t="s">
        <v>522</v>
      </c>
      <c r="X112" t="s">
        <v>365</v>
      </c>
      <c r="Y112" t="s">
        <v>36</v>
      </c>
      <c r="Z112" t="str">
        <f>"85635"</f>
        <v>85635</v>
      </c>
      <c r="AA112" t="str">
        <f>""</f>
        <v/>
      </c>
      <c r="AB112" t="s">
        <v>516</v>
      </c>
    </row>
    <row r="113" spans="1:28" x14ac:dyDescent="0.25">
      <c r="A113">
        <v>4192</v>
      </c>
      <c r="B113" t="str">
        <f t="shared" ref="B113:B128" si="18">"030201000"</f>
        <v>030201000</v>
      </c>
      <c r="C113" t="s">
        <v>541</v>
      </c>
      <c r="D113">
        <v>0</v>
      </c>
      <c r="E113" t="str">
        <f>""</f>
        <v/>
      </c>
      <c r="G113" t="s">
        <v>29</v>
      </c>
      <c r="H113" t="s">
        <v>542</v>
      </c>
      <c r="I113" t="s">
        <v>543</v>
      </c>
      <c r="J113" t="s">
        <v>544</v>
      </c>
      <c r="K113" t="str">
        <f>"9285276010"</f>
        <v>9285276010</v>
      </c>
      <c r="L113" t="str">
        <f>""</f>
        <v/>
      </c>
      <c r="M113" t="str">
        <f>"9285276015"</f>
        <v>9285276015</v>
      </c>
      <c r="N113" t="str">
        <f>""</f>
        <v/>
      </c>
      <c r="O113" t="s">
        <v>545</v>
      </c>
      <c r="P113" t="s">
        <v>546</v>
      </c>
      <c r="R113" t="s">
        <v>547</v>
      </c>
      <c r="S113" t="s">
        <v>36</v>
      </c>
      <c r="T113" t="str">
        <f>"86004"</f>
        <v>86004</v>
      </c>
      <c r="U113" t="str">
        <f>""</f>
        <v/>
      </c>
      <c r="V113" t="s">
        <v>546</v>
      </c>
      <c r="X113" t="s">
        <v>547</v>
      </c>
      <c r="Y113" t="s">
        <v>36</v>
      </c>
      <c r="Z113" t="str">
        <f>"86004"</f>
        <v>86004</v>
      </c>
      <c r="AA113" t="str">
        <f>""</f>
        <v/>
      </c>
      <c r="AB113" t="s">
        <v>124</v>
      </c>
    </row>
    <row r="114" spans="1:28" x14ac:dyDescent="0.25">
      <c r="A114">
        <v>4192</v>
      </c>
      <c r="B114" t="str">
        <f t="shared" si="18"/>
        <v>030201000</v>
      </c>
      <c r="C114" t="s">
        <v>541</v>
      </c>
      <c r="D114">
        <v>4803</v>
      </c>
      <c r="E114" t="str">
        <f>"030201066"</f>
        <v>030201066</v>
      </c>
      <c r="F114" t="s">
        <v>548</v>
      </c>
      <c r="G114" t="s">
        <v>42</v>
      </c>
      <c r="H114" t="s">
        <v>549</v>
      </c>
      <c r="I114" t="s">
        <v>550</v>
      </c>
      <c r="J114" t="s">
        <v>551</v>
      </c>
      <c r="K114" t="str">
        <f t="shared" ref="K114:K128" si="19">"9285276094"</f>
        <v>9285276094</v>
      </c>
      <c r="L114" t="str">
        <f>""</f>
        <v/>
      </c>
      <c r="M114" t="str">
        <f t="shared" ref="M114:M128" si="20">"9285276098"</f>
        <v>9285276098</v>
      </c>
      <c r="N114" t="str">
        <f>""</f>
        <v/>
      </c>
      <c r="O114" t="s">
        <v>552</v>
      </c>
      <c r="P114" t="s">
        <v>553</v>
      </c>
      <c r="R114" t="s">
        <v>547</v>
      </c>
      <c r="S114" t="s">
        <v>36</v>
      </c>
      <c r="T114" t="str">
        <f>"86004"</f>
        <v>86004</v>
      </c>
      <c r="U114" t="str">
        <f>""</f>
        <v/>
      </c>
      <c r="V114" t="s">
        <v>553</v>
      </c>
      <c r="X114" t="s">
        <v>547</v>
      </c>
      <c r="Y114" t="s">
        <v>36</v>
      </c>
      <c r="Z114" t="str">
        <f>"86004"</f>
        <v>86004</v>
      </c>
      <c r="AA114" t="str">
        <f>""</f>
        <v/>
      </c>
      <c r="AB114" t="s">
        <v>124</v>
      </c>
    </row>
    <row r="115" spans="1:28" x14ac:dyDescent="0.25">
      <c r="A115">
        <v>4192</v>
      </c>
      <c r="B115" t="str">
        <f t="shared" si="18"/>
        <v>030201000</v>
      </c>
      <c r="C115" t="s">
        <v>541</v>
      </c>
      <c r="D115">
        <v>4804</v>
      </c>
      <c r="E115" t="str">
        <f>"030201110"</f>
        <v>030201110</v>
      </c>
      <c r="F115" t="s">
        <v>554</v>
      </c>
      <c r="G115" t="s">
        <v>42</v>
      </c>
      <c r="H115" t="s">
        <v>549</v>
      </c>
      <c r="I115" t="s">
        <v>550</v>
      </c>
      <c r="J115" t="s">
        <v>551</v>
      </c>
      <c r="K115" t="str">
        <f t="shared" si="19"/>
        <v>9285276094</v>
      </c>
      <c r="L115" t="str">
        <f>""</f>
        <v/>
      </c>
      <c r="M115" t="str">
        <f t="shared" si="20"/>
        <v>9285276098</v>
      </c>
      <c r="N115" t="str">
        <f>""</f>
        <v/>
      </c>
      <c r="O115" t="s">
        <v>552</v>
      </c>
      <c r="P115" t="s">
        <v>555</v>
      </c>
      <c r="R115" t="s">
        <v>547</v>
      </c>
      <c r="S115" t="s">
        <v>36</v>
      </c>
      <c r="T115" t="str">
        <f>"86005"</f>
        <v>86005</v>
      </c>
      <c r="U115" t="str">
        <f>""</f>
        <v/>
      </c>
      <c r="V115" t="s">
        <v>555</v>
      </c>
      <c r="X115" t="s">
        <v>547</v>
      </c>
      <c r="Y115" t="s">
        <v>36</v>
      </c>
      <c r="Z115" t="str">
        <f>"86005"</f>
        <v>86005</v>
      </c>
      <c r="AA115" t="str">
        <f>""</f>
        <v/>
      </c>
      <c r="AB115" t="s">
        <v>124</v>
      </c>
    </row>
    <row r="116" spans="1:28" x14ac:dyDescent="0.25">
      <c r="A116">
        <v>4192</v>
      </c>
      <c r="B116" t="str">
        <f t="shared" si="18"/>
        <v>030201000</v>
      </c>
      <c r="C116" t="s">
        <v>541</v>
      </c>
      <c r="D116">
        <v>4805</v>
      </c>
      <c r="E116" t="str">
        <f>"030201111"</f>
        <v>030201111</v>
      </c>
      <c r="F116" t="s">
        <v>556</v>
      </c>
      <c r="G116" t="s">
        <v>42</v>
      </c>
      <c r="H116" t="s">
        <v>549</v>
      </c>
      <c r="I116" t="s">
        <v>550</v>
      </c>
      <c r="J116" t="s">
        <v>551</v>
      </c>
      <c r="K116" t="str">
        <f t="shared" si="19"/>
        <v>9285276094</v>
      </c>
      <c r="L116" t="str">
        <f>""</f>
        <v/>
      </c>
      <c r="M116" t="str">
        <f t="shared" si="20"/>
        <v>9285276098</v>
      </c>
      <c r="N116" t="str">
        <f>""</f>
        <v/>
      </c>
      <c r="O116" t="s">
        <v>552</v>
      </c>
      <c r="P116" t="s">
        <v>557</v>
      </c>
      <c r="R116" t="s">
        <v>547</v>
      </c>
      <c r="S116" t="s">
        <v>36</v>
      </c>
      <c r="T116" t="str">
        <f>"86004"</f>
        <v>86004</v>
      </c>
      <c r="U116" t="str">
        <f>""</f>
        <v/>
      </c>
      <c r="V116" t="s">
        <v>557</v>
      </c>
      <c r="X116" t="s">
        <v>547</v>
      </c>
      <c r="Y116" t="s">
        <v>36</v>
      </c>
      <c r="Z116" t="str">
        <f>"86004"</f>
        <v>86004</v>
      </c>
      <c r="AA116" t="str">
        <f>""</f>
        <v/>
      </c>
      <c r="AB116" t="s">
        <v>124</v>
      </c>
    </row>
    <row r="117" spans="1:28" x14ac:dyDescent="0.25">
      <c r="A117">
        <v>4192</v>
      </c>
      <c r="B117" t="str">
        <f t="shared" si="18"/>
        <v>030201000</v>
      </c>
      <c r="C117" t="s">
        <v>541</v>
      </c>
      <c r="D117">
        <v>4806</v>
      </c>
      <c r="E117" t="str">
        <f>"030201112"</f>
        <v>030201112</v>
      </c>
      <c r="F117" t="s">
        <v>558</v>
      </c>
      <c r="G117" t="s">
        <v>42</v>
      </c>
      <c r="H117" t="s">
        <v>549</v>
      </c>
      <c r="I117" t="s">
        <v>550</v>
      </c>
      <c r="J117" t="s">
        <v>551</v>
      </c>
      <c r="K117" t="str">
        <f t="shared" si="19"/>
        <v>9285276094</v>
      </c>
      <c r="L117" t="str">
        <f>""</f>
        <v/>
      </c>
      <c r="M117" t="str">
        <f t="shared" si="20"/>
        <v>9285276098</v>
      </c>
      <c r="N117" t="str">
        <f>""</f>
        <v/>
      </c>
      <c r="O117" t="s">
        <v>552</v>
      </c>
      <c r="P117" t="s">
        <v>559</v>
      </c>
      <c r="R117" t="s">
        <v>547</v>
      </c>
      <c r="S117" t="s">
        <v>36</v>
      </c>
      <c r="T117" t="str">
        <f>"86005"</f>
        <v>86005</v>
      </c>
      <c r="U117" t="str">
        <f>""</f>
        <v/>
      </c>
      <c r="V117" t="s">
        <v>559</v>
      </c>
      <c r="X117" t="s">
        <v>547</v>
      </c>
      <c r="Y117" t="s">
        <v>36</v>
      </c>
      <c r="Z117" t="str">
        <f>"86005"</f>
        <v>86005</v>
      </c>
      <c r="AA117" t="str">
        <f>""</f>
        <v/>
      </c>
      <c r="AB117" t="s">
        <v>124</v>
      </c>
    </row>
    <row r="118" spans="1:28" x14ac:dyDescent="0.25">
      <c r="A118">
        <v>4192</v>
      </c>
      <c r="B118" t="str">
        <f t="shared" si="18"/>
        <v>030201000</v>
      </c>
      <c r="C118" t="s">
        <v>541</v>
      </c>
      <c r="D118">
        <v>4807</v>
      </c>
      <c r="E118" t="str">
        <f>"030201113"</f>
        <v>030201113</v>
      </c>
      <c r="F118" t="s">
        <v>560</v>
      </c>
      <c r="G118" t="s">
        <v>42</v>
      </c>
      <c r="H118" t="s">
        <v>549</v>
      </c>
      <c r="I118" t="s">
        <v>550</v>
      </c>
      <c r="J118" t="s">
        <v>551</v>
      </c>
      <c r="K118" t="str">
        <f t="shared" si="19"/>
        <v>9285276094</v>
      </c>
      <c r="L118" t="str">
        <f>""</f>
        <v/>
      </c>
      <c r="M118" t="str">
        <f t="shared" si="20"/>
        <v>9285276098</v>
      </c>
      <c r="N118" t="str">
        <f>""</f>
        <v/>
      </c>
      <c r="O118" t="s">
        <v>552</v>
      </c>
      <c r="P118" t="s">
        <v>561</v>
      </c>
      <c r="R118" t="s">
        <v>547</v>
      </c>
      <c r="S118" t="s">
        <v>36</v>
      </c>
      <c r="T118" t="str">
        <f>"86001"</f>
        <v>86001</v>
      </c>
      <c r="U118" t="str">
        <f>""</f>
        <v/>
      </c>
      <c r="V118" t="s">
        <v>561</v>
      </c>
      <c r="X118" t="s">
        <v>547</v>
      </c>
      <c r="Y118" t="s">
        <v>36</v>
      </c>
      <c r="Z118" t="str">
        <f>"86001"</f>
        <v>86001</v>
      </c>
      <c r="AA118" t="str">
        <f>""</f>
        <v/>
      </c>
      <c r="AB118" t="s">
        <v>124</v>
      </c>
    </row>
    <row r="119" spans="1:28" x14ac:dyDescent="0.25">
      <c r="A119">
        <v>4192</v>
      </c>
      <c r="B119" t="str">
        <f t="shared" si="18"/>
        <v>030201000</v>
      </c>
      <c r="C119" t="s">
        <v>541</v>
      </c>
      <c r="D119">
        <v>4808</v>
      </c>
      <c r="E119" t="str">
        <f>"030201114"</f>
        <v>030201114</v>
      </c>
      <c r="F119" t="s">
        <v>562</v>
      </c>
      <c r="G119" t="s">
        <v>42</v>
      </c>
      <c r="H119" t="s">
        <v>549</v>
      </c>
      <c r="I119" t="s">
        <v>550</v>
      </c>
      <c r="J119" t="s">
        <v>551</v>
      </c>
      <c r="K119" t="str">
        <f t="shared" si="19"/>
        <v>9285276094</v>
      </c>
      <c r="L119" t="str">
        <f>""</f>
        <v/>
      </c>
      <c r="M119" t="str">
        <f t="shared" si="20"/>
        <v>9285276098</v>
      </c>
      <c r="N119" t="str">
        <f>""</f>
        <v/>
      </c>
      <c r="O119" t="s">
        <v>552</v>
      </c>
      <c r="P119" t="s">
        <v>563</v>
      </c>
      <c r="R119" t="s">
        <v>547</v>
      </c>
      <c r="S119" t="s">
        <v>36</v>
      </c>
      <c r="T119" t="str">
        <f>"86004"</f>
        <v>86004</v>
      </c>
      <c r="U119" t="str">
        <f>""</f>
        <v/>
      </c>
      <c r="V119" t="s">
        <v>563</v>
      </c>
      <c r="X119" t="s">
        <v>547</v>
      </c>
      <c r="Y119" t="s">
        <v>36</v>
      </c>
      <c r="Z119" t="str">
        <f>"86004"</f>
        <v>86004</v>
      </c>
      <c r="AA119" t="str">
        <f>""</f>
        <v/>
      </c>
      <c r="AB119" t="s">
        <v>124</v>
      </c>
    </row>
    <row r="120" spans="1:28" x14ac:dyDescent="0.25">
      <c r="A120">
        <v>4192</v>
      </c>
      <c r="B120" t="str">
        <f t="shared" si="18"/>
        <v>030201000</v>
      </c>
      <c r="C120" t="s">
        <v>541</v>
      </c>
      <c r="D120">
        <v>4811</v>
      </c>
      <c r="E120" t="str">
        <f>"030201117"</f>
        <v>030201117</v>
      </c>
      <c r="F120" t="s">
        <v>564</v>
      </c>
      <c r="G120" t="s">
        <v>42</v>
      </c>
      <c r="H120" t="s">
        <v>549</v>
      </c>
      <c r="I120" t="s">
        <v>550</v>
      </c>
      <c r="J120" t="s">
        <v>551</v>
      </c>
      <c r="K120" t="str">
        <f t="shared" si="19"/>
        <v>9285276094</v>
      </c>
      <c r="L120" t="str">
        <f>""</f>
        <v/>
      </c>
      <c r="M120" t="str">
        <f t="shared" si="20"/>
        <v>9285276098</v>
      </c>
      <c r="N120" t="str">
        <f>""</f>
        <v/>
      </c>
      <c r="O120" t="s">
        <v>552</v>
      </c>
      <c r="P120" t="s">
        <v>565</v>
      </c>
      <c r="R120" t="s">
        <v>547</v>
      </c>
      <c r="S120" t="s">
        <v>36</v>
      </c>
      <c r="T120" t="str">
        <f>"86001"</f>
        <v>86001</v>
      </c>
      <c r="U120" t="str">
        <f>""</f>
        <v/>
      </c>
      <c r="V120" t="s">
        <v>565</v>
      </c>
      <c r="X120" t="s">
        <v>547</v>
      </c>
      <c r="Y120" t="s">
        <v>36</v>
      </c>
      <c r="Z120" t="str">
        <f>"86001"</f>
        <v>86001</v>
      </c>
      <c r="AA120" t="str">
        <f>""</f>
        <v/>
      </c>
      <c r="AB120" t="s">
        <v>124</v>
      </c>
    </row>
    <row r="121" spans="1:28" x14ac:dyDescent="0.25">
      <c r="A121">
        <v>4192</v>
      </c>
      <c r="B121" t="str">
        <f t="shared" si="18"/>
        <v>030201000</v>
      </c>
      <c r="C121" t="s">
        <v>541</v>
      </c>
      <c r="D121">
        <v>4812</v>
      </c>
      <c r="E121" t="str">
        <f>"030201118"</f>
        <v>030201118</v>
      </c>
      <c r="F121" t="s">
        <v>566</v>
      </c>
      <c r="G121" t="s">
        <v>42</v>
      </c>
      <c r="H121" t="s">
        <v>549</v>
      </c>
      <c r="I121" t="s">
        <v>550</v>
      </c>
      <c r="J121" t="s">
        <v>551</v>
      </c>
      <c r="K121" t="str">
        <f t="shared" si="19"/>
        <v>9285276094</v>
      </c>
      <c r="L121" t="str">
        <f>""</f>
        <v/>
      </c>
      <c r="M121" t="str">
        <f t="shared" si="20"/>
        <v>9285276098</v>
      </c>
      <c r="N121" t="str">
        <f>""</f>
        <v/>
      </c>
      <c r="O121" t="s">
        <v>552</v>
      </c>
      <c r="P121" t="s">
        <v>567</v>
      </c>
      <c r="R121" t="s">
        <v>547</v>
      </c>
      <c r="S121" t="s">
        <v>36</v>
      </c>
      <c r="T121" t="str">
        <f>"86004"</f>
        <v>86004</v>
      </c>
      <c r="U121" t="str">
        <f>""</f>
        <v/>
      </c>
      <c r="V121" t="s">
        <v>567</v>
      </c>
      <c r="X121" t="s">
        <v>547</v>
      </c>
      <c r="Y121" t="s">
        <v>36</v>
      </c>
      <c r="Z121" t="str">
        <f>"86004"</f>
        <v>86004</v>
      </c>
      <c r="AA121" t="str">
        <f>""</f>
        <v/>
      </c>
      <c r="AB121" t="s">
        <v>124</v>
      </c>
    </row>
    <row r="122" spans="1:28" x14ac:dyDescent="0.25">
      <c r="A122">
        <v>4192</v>
      </c>
      <c r="B122" t="str">
        <f t="shared" si="18"/>
        <v>030201000</v>
      </c>
      <c r="C122" t="s">
        <v>541</v>
      </c>
      <c r="D122">
        <v>4814</v>
      </c>
      <c r="E122" t="str">
        <f>"030201120"</f>
        <v>030201120</v>
      </c>
      <c r="F122" t="s">
        <v>568</v>
      </c>
      <c r="G122" t="s">
        <v>42</v>
      </c>
      <c r="H122" t="s">
        <v>549</v>
      </c>
      <c r="I122" t="s">
        <v>550</v>
      </c>
      <c r="J122" t="s">
        <v>551</v>
      </c>
      <c r="K122" t="str">
        <f t="shared" si="19"/>
        <v>9285276094</v>
      </c>
      <c r="L122" t="str">
        <f>""</f>
        <v/>
      </c>
      <c r="M122" t="str">
        <f t="shared" si="20"/>
        <v>9285276098</v>
      </c>
      <c r="N122" t="str">
        <f>""</f>
        <v/>
      </c>
      <c r="O122" t="s">
        <v>552</v>
      </c>
      <c r="P122" t="s">
        <v>569</v>
      </c>
      <c r="Q122" t="s">
        <v>570</v>
      </c>
      <c r="R122" t="s">
        <v>547</v>
      </c>
      <c r="S122" t="s">
        <v>36</v>
      </c>
      <c r="T122" t="str">
        <f>"86004"</f>
        <v>86004</v>
      </c>
      <c r="U122" t="str">
        <f>""</f>
        <v/>
      </c>
      <c r="V122" t="s">
        <v>571</v>
      </c>
      <c r="X122" t="s">
        <v>572</v>
      </c>
      <c r="Y122" t="s">
        <v>36</v>
      </c>
      <c r="Z122" t="str">
        <f>"86035"</f>
        <v>86035</v>
      </c>
      <c r="AA122" t="str">
        <f>""</f>
        <v/>
      </c>
      <c r="AB122" t="s">
        <v>124</v>
      </c>
    </row>
    <row r="123" spans="1:28" x14ac:dyDescent="0.25">
      <c r="A123">
        <v>4192</v>
      </c>
      <c r="B123" t="str">
        <f t="shared" si="18"/>
        <v>030201000</v>
      </c>
      <c r="C123" t="s">
        <v>541</v>
      </c>
      <c r="D123">
        <v>4815</v>
      </c>
      <c r="E123" t="str">
        <f>"030201122"</f>
        <v>030201122</v>
      </c>
      <c r="F123" t="s">
        <v>573</v>
      </c>
      <c r="G123" t="s">
        <v>42</v>
      </c>
      <c r="H123" t="s">
        <v>549</v>
      </c>
      <c r="I123" t="s">
        <v>550</v>
      </c>
      <c r="J123" t="s">
        <v>551</v>
      </c>
      <c r="K123" t="str">
        <f t="shared" si="19"/>
        <v>9285276094</v>
      </c>
      <c r="L123" t="str">
        <f>""</f>
        <v/>
      </c>
      <c r="M123" t="str">
        <f t="shared" si="20"/>
        <v>9285276098</v>
      </c>
      <c r="N123" t="str">
        <f>""</f>
        <v/>
      </c>
      <c r="O123" t="s">
        <v>552</v>
      </c>
      <c r="P123" t="s">
        <v>574</v>
      </c>
      <c r="R123" t="s">
        <v>547</v>
      </c>
      <c r="S123" t="s">
        <v>36</v>
      </c>
      <c r="T123" t="str">
        <f>"86004"</f>
        <v>86004</v>
      </c>
      <c r="U123" t="str">
        <f>""</f>
        <v/>
      </c>
      <c r="V123" t="s">
        <v>574</v>
      </c>
      <c r="X123" t="s">
        <v>547</v>
      </c>
      <c r="Y123" t="s">
        <v>36</v>
      </c>
      <c r="Z123" t="str">
        <f>"86004"</f>
        <v>86004</v>
      </c>
      <c r="AA123" t="str">
        <f>""</f>
        <v/>
      </c>
      <c r="AB123" t="s">
        <v>124</v>
      </c>
    </row>
    <row r="124" spans="1:28" x14ac:dyDescent="0.25">
      <c r="A124">
        <v>4192</v>
      </c>
      <c r="B124" t="str">
        <f t="shared" si="18"/>
        <v>030201000</v>
      </c>
      <c r="C124" t="s">
        <v>541</v>
      </c>
      <c r="D124">
        <v>4817</v>
      </c>
      <c r="E124" t="str">
        <f>"030201124"</f>
        <v>030201124</v>
      </c>
      <c r="F124" t="s">
        <v>575</v>
      </c>
      <c r="G124" t="s">
        <v>42</v>
      </c>
      <c r="H124" t="s">
        <v>549</v>
      </c>
      <c r="I124" t="s">
        <v>550</v>
      </c>
      <c r="J124" t="s">
        <v>551</v>
      </c>
      <c r="K124" t="str">
        <f t="shared" si="19"/>
        <v>9285276094</v>
      </c>
      <c r="L124" t="str">
        <f>""</f>
        <v/>
      </c>
      <c r="M124" t="str">
        <f t="shared" si="20"/>
        <v>9285276098</v>
      </c>
      <c r="N124" t="str">
        <f>""</f>
        <v/>
      </c>
      <c r="O124" t="s">
        <v>552</v>
      </c>
      <c r="P124" t="s">
        <v>576</v>
      </c>
      <c r="R124" t="s">
        <v>547</v>
      </c>
      <c r="S124" t="s">
        <v>36</v>
      </c>
      <c r="T124" t="str">
        <f>"86004"</f>
        <v>86004</v>
      </c>
      <c r="U124" t="str">
        <f>""</f>
        <v/>
      </c>
      <c r="V124" t="s">
        <v>576</v>
      </c>
      <c r="X124" t="s">
        <v>547</v>
      </c>
      <c r="Y124" t="s">
        <v>36</v>
      </c>
      <c r="Z124" t="str">
        <f>"86004"</f>
        <v>86004</v>
      </c>
      <c r="AA124" t="str">
        <f>""</f>
        <v/>
      </c>
      <c r="AB124" t="s">
        <v>124</v>
      </c>
    </row>
    <row r="125" spans="1:28" x14ac:dyDescent="0.25">
      <c r="A125">
        <v>4192</v>
      </c>
      <c r="B125" t="str">
        <f t="shared" si="18"/>
        <v>030201000</v>
      </c>
      <c r="C125" t="s">
        <v>541</v>
      </c>
      <c r="D125">
        <v>4819</v>
      </c>
      <c r="E125" t="str">
        <f>"030201281"</f>
        <v>030201281</v>
      </c>
      <c r="F125" t="s">
        <v>577</v>
      </c>
      <c r="G125" t="s">
        <v>42</v>
      </c>
      <c r="H125" t="s">
        <v>549</v>
      </c>
      <c r="I125" t="s">
        <v>550</v>
      </c>
      <c r="J125" t="s">
        <v>551</v>
      </c>
      <c r="K125" t="str">
        <f t="shared" si="19"/>
        <v>9285276094</v>
      </c>
      <c r="L125" t="str">
        <f>""</f>
        <v/>
      </c>
      <c r="M125" t="str">
        <f t="shared" si="20"/>
        <v>9285276098</v>
      </c>
      <c r="N125" t="str">
        <f>""</f>
        <v/>
      </c>
      <c r="O125" t="s">
        <v>552</v>
      </c>
      <c r="P125" t="s">
        <v>578</v>
      </c>
      <c r="R125" t="s">
        <v>547</v>
      </c>
      <c r="S125" t="s">
        <v>36</v>
      </c>
      <c r="T125" t="str">
        <f>"86001"</f>
        <v>86001</v>
      </c>
      <c r="U125" t="str">
        <f>""</f>
        <v/>
      </c>
      <c r="V125" t="s">
        <v>578</v>
      </c>
      <c r="X125" t="s">
        <v>547</v>
      </c>
      <c r="Y125" t="s">
        <v>36</v>
      </c>
      <c r="Z125" t="str">
        <f>"86001"</f>
        <v>86001</v>
      </c>
      <c r="AA125" t="str">
        <f>""</f>
        <v/>
      </c>
      <c r="AB125" t="s">
        <v>124</v>
      </c>
    </row>
    <row r="126" spans="1:28" x14ac:dyDescent="0.25">
      <c r="A126">
        <v>4192</v>
      </c>
      <c r="B126" t="str">
        <f t="shared" si="18"/>
        <v>030201000</v>
      </c>
      <c r="C126" t="s">
        <v>541</v>
      </c>
      <c r="D126">
        <v>4820</v>
      </c>
      <c r="E126" t="str">
        <f>"030201282"</f>
        <v>030201282</v>
      </c>
      <c r="F126" t="s">
        <v>579</v>
      </c>
      <c r="G126" t="s">
        <v>42</v>
      </c>
      <c r="H126" t="s">
        <v>549</v>
      </c>
      <c r="I126" t="s">
        <v>550</v>
      </c>
      <c r="J126" t="s">
        <v>551</v>
      </c>
      <c r="K126" t="str">
        <f t="shared" si="19"/>
        <v>9285276094</v>
      </c>
      <c r="L126" t="str">
        <f>""</f>
        <v/>
      </c>
      <c r="M126" t="str">
        <f t="shared" si="20"/>
        <v>9285276098</v>
      </c>
      <c r="N126" t="str">
        <f>""</f>
        <v/>
      </c>
      <c r="O126" t="s">
        <v>552</v>
      </c>
      <c r="P126" t="s">
        <v>580</v>
      </c>
      <c r="R126" t="s">
        <v>547</v>
      </c>
      <c r="S126" t="s">
        <v>36</v>
      </c>
      <c r="T126" t="str">
        <f>"86004"</f>
        <v>86004</v>
      </c>
      <c r="U126" t="str">
        <f>""</f>
        <v/>
      </c>
      <c r="V126" t="s">
        <v>580</v>
      </c>
      <c r="X126" t="s">
        <v>547</v>
      </c>
      <c r="Y126" t="s">
        <v>36</v>
      </c>
      <c r="Z126" t="str">
        <f>"86004"</f>
        <v>86004</v>
      </c>
      <c r="AA126" t="str">
        <f>""</f>
        <v/>
      </c>
      <c r="AB126" t="s">
        <v>124</v>
      </c>
    </row>
    <row r="127" spans="1:28" x14ac:dyDescent="0.25">
      <c r="A127">
        <v>4192</v>
      </c>
      <c r="B127" t="str">
        <f t="shared" si="18"/>
        <v>030201000</v>
      </c>
      <c r="C127" t="s">
        <v>541</v>
      </c>
      <c r="D127">
        <v>79665</v>
      </c>
      <c r="E127" t="str">
        <f>"030201121"</f>
        <v>030201121</v>
      </c>
      <c r="F127" t="s">
        <v>581</v>
      </c>
      <c r="G127" t="s">
        <v>42</v>
      </c>
      <c r="H127" t="s">
        <v>549</v>
      </c>
      <c r="I127" t="s">
        <v>550</v>
      </c>
      <c r="J127" t="s">
        <v>551</v>
      </c>
      <c r="K127" t="str">
        <f t="shared" si="19"/>
        <v>9285276094</v>
      </c>
      <c r="L127" t="str">
        <f>""</f>
        <v/>
      </c>
      <c r="M127" t="str">
        <f t="shared" si="20"/>
        <v>9285276098</v>
      </c>
      <c r="N127" t="str">
        <f>""</f>
        <v/>
      </c>
      <c r="O127" t="s">
        <v>552</v>
      </c>
      <c r="P127" t="s">
        <v>582</v>
      </c>
      <c r="R127" t="s">
        <v>547</v>
      </c>
      <c r="S127" t="s">
        <v>36</v>
      </c>
      <c r="T127" t="str">
        <f>"86004"</f>
        <v>86004</v>
      </c>
      <c r="U127" t="str">
        <f>""</f>
        <v/>
      </c>
      <c r="V127" t="s">
        <v>582</v>
      </c>
      <c r="X127" t="s">
        <v>547</v>
      </c>
      <c r="Y127" t="s">
        <v>36</v>
      </c>
      <c r="Z127" t="str">
        <f>"86004"</f>
        <v>86004</v>
      </c>
      <c r="AA127" t="str">
        <f>""</f>
        <v/>
      </c>
      <c r="AB127" t="s">
        <v>124</v>
      </c>
    </row>
    <row r="128" spans="1:28" x14ac:dyDescent="0.25">
      <c r="A128">
        <v>4192</v>
      </c>
      <c r="B128" t="str">
        <f t="shared" si="18"/>
        <v>030201000</v>
      </c>
      <c r="C128" t="s">
        <v>541</v>
      </c>
      <c r="D128">
        <v>90191</v>
      </c>
      <c r="E128" t="str">
        <f>"030201126"</f>
        <v>030201126</v>
      </c>
      <c r="F128" t="s">
        <v>583</v>
      </c>
      <c r="G128" t="s">
        <v>42</v>
      </c>
      <c r="H128" t="s">
        <v>549</v>
      </c>
      <c r="I128" t="s">
        <v>550</v>
      </c>
      <c r="J128" t="s">
        <v>551</v>
      </c>
      <c r="K128" t="str">
        <f t="shared" si="19"/>
        <v>9285276094</v>
      </c>
      <c r="L128" t="str">
        <f>""</f>
        <v/>
      </c>
      <c r="M128" t="str">
        <f t="shared" si="20"/>
        <v>9285276098</v>
      </c>
      <c r="N128" t="str">
        <f>""</f>
        <v/>
      </c>
      <c r="O128" t="s">
        <v>552</v>
      </c>
      <c r="P128" t="s">
        <v>584</v>
      </c>
      <c r="R128" t="s">
        <v>547</v>
      </c>
      <c r="S128" t="s">
        <v>36</v>
      </c>
      <c r="T128" t="str">
        <f>"86004"</f>
        <v>86004</v>
      </c>
      <c r="U128" t="str">
        <f>""</f>
        <v/>
      </c>
      <c r="V128" t="s">
        <v>584</v>
      </c>
      <c r="X128" t="s">
        <v>547</v>
      </c>
      <c r="Y128" t="s">
        <v>36</v>
      </c>
      <c r="Z128" t="str">
        <f>"86004"</f>
        <v>86004</v>
      </c>
      <c r="AA128" t="str">
        <f>""</f>
        <v/>
      </c>
      <c r="AB128" t="s">
        <v>124</v>
      </c>
    </row>
    <row r="129" spans="1:28" x14ac:dyDescent="0.25">
      <c r="A129">
        <v>4193</v>
      </c>
      <c r="B129" t="str">
        <f>"030202000"</f>
        <v>030202000</v>
      </c>
      <c r="C129" t="s">
        <v>585</v>
      </c>
      <c r="D129">
        <v>0</v>
      </c>
      <c r="E129" t="str">
        <f>""</f>
        <v/>
      </c>
      <c r="G129" t="s">
        <v>29</v>
      </c>
      <c r="H129" t="s">
        <v>586</v>
      </c>
      <c r="I129" t="s">
        <v>106</v>
      </c>
      <c r="J129" t="s">
        <v>587</v>
      </c>
      <c r="K129" t="str">
        <f>"9286354428"</f>
        <v>9286354428</v>
      </c>
      <c r="L129" t="str">
        <f>"124"</f>
        <v>124</v>
      </c>
      <c r="M129" t="str">
        <f>"9286351213"</f>
        <v>9286351213</v>
      </c>
      <c r="N129" t="str">
        <f>""</f>
        <v/>
      </c>
      <c r="O129" t="s">
        <v>588</v>
      </c>
      <c r="P129" t="s">
        <v>589</v>
      </c>
      <c r="R129" t="s">
        <v>590</v>
      </c>
      <c r="S129" t="s">
        <v>36</v>
      </c>
      <c r="T129" t="str">
        <f>"86046"</f>
        <v>86046</v>
      </c>
      <c r="U129" t="str">
        <f>""</f>
        <v/>
      </c>
      <c r="V129" t="s">
        <v>591</v>
      </c>
      <c r="X129" t="s">
        <v>590</v>
      </c>
      <c r="Y129" t="s">
        <v>36</v>
      </c>
      <c r="Z129" t="str">
        <f>"86046"</f>
        <v>86046</v>
      </c>
      <c r="AA129" t="str">
        <f>""</f>
        <v/>
      </c>
      <c r="AB129" t="s">
        <v>592</v>
      </c>
    </row>
    <row r="130" spans="1:28" x14ac:dyDescent="0.25">
      <c r="A130">
        <v>4193</v>
      </c>
      <c r="B130" t="str">
        <f>"030202000"</f>
        <v>030202000</v>
      </c>
      <c r="C130" t="s">
        <v>585</v>
      </c>
      <c r="D130">
        <v>4822</v>
      </c>
      <c r="E130" t="str">
        <f>"030202102"</f>
        <v>030202102</v>
      </c>
      <c r="F130" t="s">
        <v>593</v>
      </c>
      <c r="G130" t="s">
        <v>42</v>
      </c>
      <c r="H130" t="s">
        <v>586</v>
      </c>
      <c r="I130" t="s">
        <v>106</v>
      </c>
      <c r="J130" t="s">
        <v>594</v>
      </c>
      <c r="K130" t="str">
        <f>"9286354428"</f>
        <v>9286354428</v>
      </c>
      <c r="L130" t="str">
        <f>"124"</f>
        <v>124</v>
      </c>
      <c r="M130" t="str">
        <f>"9286351213"</f>
        <v>9286351213</v>
      </c>
      <c r="N130" t="str">
        <f>""</f>
        <v/>
      </c>
      <c r="O130" t="s">
        <v>588</v>
      </c>
      <c r="P130" t="s">
        <v>595</v>
      </c>
      <c r="R130" t="s">
        <v>590</v>
      </c>
      <c r="S130" t="s">
        <v>36</v>
      </c>
      <c r="T130" t="str">
        <f>"86046"</f>
        <v>86046</v>
      </c>
      <c r="U130" t="str">
        <f>""</f>
        <v/>
      </c>
      <c r="V130" t="s">
        <v>596</v>
      </c>
      <c r="X130" t="s">
        <v>590</v>
      </c>
      <c r="Y130" t="s">
        <v>36</v>
      </c>
      <c r="Z130" t="str">
        <f>"86046"</f>
        <v>86046</v>
      </c>
      <c r="AA130" t="str">
        <f>""</f>
        <v/>
      </c>
      <c r="AB130" t="s">
        <v>592</v>
      </c>
    </row>
    <row r="131" spans="1:28" x14ac:dyDescent="0.25">
      <c r="A131">
        <v>4193</v>
      </c>
      <c r="B131" t="str">
        <f>"030202000"</f>
        <v>030202000</v>
      </c>
      <c r="C131" t="s">
        <v>585</v>
      </c>
      <c r="D131">
        <v>4823</v>
      </c>
      <c r="E131" t="str">
        <f>"030202201"</f>
        <v>030202201</v>
      </c>
      <c r="F131" t="s">
        <v>597</v>
      </c>
      <c r="G131" t="s">
        <v>42</v>
      </c>
      <c r="H131" t="s">
        <v>586</v>
      </c>
      <c r="I131" t="s">
        <v>106</v>
      </c>
      <c r="J131" t="s">
        <v>598</v>
      </c>
      <c r="K131" t="str">
        <f>"9286354428"</f>
        <v>9286354428</v>
      </c>
      <c r="L131" t="str">
        <f>"124"</f>
        <v>124</v>
      </c>
      <c r="M131" t="str">
        <f>"9286351213"</f>
        <v>9286351213</v>
      </c>
      <c r="N131" t="str">
        <f>""</f>
        <v/>
      </c>
      <c r="O131" t="s">
        <v>588</v>
      </c>
      <c r="P131" t="s">
        <v>589</v>
      </c>
      <c r="R131" t="s">
        <v>590</v>
      </c>
      <c r="S131" t="s">
        <v>36</v>
      </c>
      <c r="T131" t="str">
        <f>"86046"</f>
        <v>86046</v>
      </c>
      <c r="U131" t="str">
        <f>""</f>
        <v/>
      </c>
      <c r="V131" t="s">
        <v>599</v>
      </c>
      <c r="X131" t="s">
        <v>590</v>
      </c>
      <c r="Y131" t="s">
        <v>36</v>
      </c>
      <c r="Z131" t="str">
        <f>"86046"</f>
        <v>86046</v>
      </c>
      <c r="AA131" t="str">
        <f>""</f>
        <v/>
      </c>
      <c r="AB131" t="s">
        <v>592</v>
      </c>
    </row>
    <row r="132" spans="1:28" x14ac:dyDescent="0.25">
      <c r="A132">
        <v>4194</v>
      </c>
      <c r="B132" t="str">
        <f>"030204000"</f>
        <v>030204000</v>
      </c>
      <c r="C132" t="s">
        <v>600</v>
      </c>
      <c r="D132">
        <v>0</v>
      </c>
      <c r="E132" t="str">
        <f>""</f>
        <v/>
      </c>
      <c r="G132" t="s">
        <v>29</v>
      </c>
      <c r="H132" t="s">
        <v>601</v>
      </c>
      <c r="I132" t="s">
        <v>602</v>
      </c>
      <c r="J132" t="s">
        <v>32</v>
      </c>
      <c r="K132" t="str">
        <f>"9286382461"</f>
        <v>9286382461</v>
      </c>
      <c r="L132" t="str">
        <f>"309"</f>
        <v>309</v>
      </c>
      <c r="M132" t="str">
        <f>"9286382045"</f>
        <v>9286382045</v>
      </c>
      <c r="N132" t="str">
        <f>""</f>
        <v/>
      </c>
      <c r="O132" t="s">
        <v>603</v>
      </c>
      <c r="P132" t="s">
        <v>604</v>
      </c>
      <c r="R132" t="s">
        <v>605</v>
      </c>
      <c r="S132" t="s">
        <v>36</v>
      </c>
      <c r="T132" t="str">
        <f>"86023"</f>
        <v>86023</v>
      </c>
      <c r="U132" t="str">
        <f>"0519"</f>
        <v>0519</v>
      </c>
      <c r="V132" t="s">
        <v>606</v>
      </c>
      <c r="X132" t="s">
        <v>605</v>
      </c>
      <c r="Y132" t="s">
        <v>36</v>
      </c>
      <c r="Z132" t="str">
        <f>"86023"</f>
        <v>86023</v>
      </c>
      <c r="AA132" t="str">
        <f>"0519"</f>
        <v>0519</v>
      </c>
      <c r="AB132" t="s">
        <v>156</v>
      </c>
    </row>
    <row r="133" spans="1:28" x14ac:dyDescent="0.25">
      <c r="A133">
        <v>4194</v>
      </c>
      <c r="B133" t="str">
        <f>"030204000"</f>
        <v>030204000</v>
      </c>
      <c r="C133" t="s">
        <v>600</v>
      </c>
      <c r="D133">
        <v>4824</v>
      </c>
      <c r="E133" t="str">
        <f>"030204001"</f>
        <v>030204001</v>
      </c>
      <c r="F133" t="s">
        <v>607</v>
      </c>
      <c r="G133" t="s">
        <v>42</v>
      </c>
      <c r="H133" t="s">
        <v>608</v>
      </c>
      <c r="I133" t="s">
        <v>602</v>
      </c>
      <c r="J133" t="s">
        <v>32</v>
      </c>
      <c r="K133" t="str">
        <f>"9286382461"</f>
        <v>9286382461</v>
      </c>
      <c r="L133" t="str">
        <f>"309"</f>
        <v>309</v>
      </c>
      <c r="M133" t="str">
        <f>"9286382045"</f>
        <v>9286382045</v>
      </c>
      <c r="N133" t="str">
        <f>""</f>
        <v/>
      </c>
      <c r="O133" t="s">
        <v>603</v>
      </c>
      <c r="P133" t="s">
        <v>609</v>
      </c>
      <c r="R133" t="s">
        <v>605</v>
      </c>
      <c r="S133" t="s">
        <v>36</v>
      </c>
      <c r="T133" t="str">
        <f>"86023"</f>
        <v>86023</v>
      </c>
      <c r="U133" t="str">
        <f>"0519"</f>
        <v>0519</v>
      </c>
      <c r="V133" t="s">
        <v>610</v>
      </c>
      <c r="X133" t="s">
        <v>605</v>
      </c>
      <c r="Y133" t="s">
        <v>36</v>
      </c>
      <c r="Z133" t="str">
        <f>"86023"</f>
        <v>86023</v>
      </c>
      <c r="AA133" t="str">
        <f>"0519"</f>
        <v>0519</v>
      </c>
      <c r="AB133" t="s">
        <v>156</v>
      </c>
    </row>
    <row r="134" spans="1:28" x14ac:dyDescent="0.25">
      <c r="A134">
        <v>4194</v>
      </c>
      <c r="B134" t="str">
        <f>"030204000"</f>
        <v>030204000</v>
      </c>
      <c r="C134" t="s">
        <v>600</v>
      </c>
      <c r="D134">
        <v>4825</v>
      </c>
      <c r="E134" t="str">
        <f>"030204002"</f>
        <v>030204002</v>
      </c>
      <c r="F134" t="s">
        <v>611</v>
      </c>
      <c r="G134" t="s">
        <v>42</v>
      </c>
      <c r="H134" t="s">
        <v>608</v>
      </c>
      <c r="I134" t="s">
        <v>602</v>
      </c>
      <c r="J134" t="s">
        <v>32</v>
      </c>
      <c r="K134" t="str">
        <f>"9286382461"</f>
        <v>9286382461</v>
      </c>
      <c r="L134" t="str">
        <f>"309"</f>
        <v>309</v>
      </c>
      <c r="M134" t="str">
        <f>"9286382045"</f>
        <v>9286382045</v>
      </c>
      <c r="N134" t="str">
        <f>""</f>
        <v/>
      </c>
      <c r="O134" t="s">
        <v>603</v>
      </c>
      <c r="P134" t="s">
        <v>612</v>
      </c>
      <c r="R134" t="s">
        <v>605</v>
      </c>
      <c r="S134" t="s">
        <v>36</v>
      </c>
      <c r="T134" t="str">
        <f>"86023"</f>
        <v>86023</v>
      </c>
      <c r="U134" t="str">
        <f>"0519"</f>
        <v>0519</v>
      </c>
      <c r="V134" t="s">
        <v>613</v>
      </c>
      <c r="X134" t="s">
        <v>605</v>
      </c>
      <c r="Y134" t="s">
        <v>36</v>
      </c>
      <c r="Z134" t="str">
        <f>"86023"</f>
        <v>86023</v>
      </c>
      <c r="AA134" t="str">
        <f>"0519"</f>
        <v>0519</v>
      </c>
      <c r="AB134" t="s">
        <v>156</v>
      </c>
    </row>
    <row r="135" spans="1:28" x14ac:dyDescent="0.25">
      <c r="A135">
        <v>4195</v>
      </c>
      <c r="B135" t="str">
        <f>"030206000"</f>
        <v>030206000</v>
      </c>
      <c r="C135" t="s">
        <v>614</v>
      </c>
      <c r="D135">
        <v>0</v>
      </c>
      <c r="E135" t="str">
        <f>""</f>
        <v/>
      </c>
      <c r="G135" t="s">
        <v>29</v>
      </c>
      <c r="H135" t="s">
        <v>615</v>
      </c>
      <c r="I135" t="s">
        <v>616</v>
      </c>
      <c r="J135" t="s">
        <v>307</v>
      </c>
      <c r="K135" t="str">
        <f>"9286437333"</f>
        <v>9286437333</v>
      </c>
      <c r="L135" t="str">
        <f>"320"</f>
        <v>320</v>
      </c>
      <c r="M135" t="str">
        <f>"9286437324"</f>
        <v>9286437324</v>
      </c>
      <c r="N135" t="str">
        <f>""</f>
        <v/>
      </c>
      <c r="O135" t="s">
        <v>617</v>
      </c>
      <c r="P135" t="s">
        <v>618</v>
      </c>
      <c r="R135" t="s">
        <v>619</v>
      </c>
      <c r="S135" t="s">
        <v>36</v>
      </c>
      <c r="T135" t="str">
        <f>"86022"</f>
        <v>86022</v>
      </c>
      <c r="U135" t="str">
        <f>""</f>
        <v/>
      </c>
      <c r="V135" t="s">
        <v>620</v>
      </c>
      <c r="X135" t="s">
        <v>619</v>
      </c>
      <c r="Y135" t="s">
        <v>36</v>
      </c>
      <c r="Z135" t="str">
        <f>"86022"</f>
        <v>86022</v>
      </c>
      <c r="AA135" t="str">
        <f>""</f>
        <v/>
      </c>
      <c r="AB135" t="s">
        <v>40</v>
      </c>
    </row>
    <row r="136" spans="1:28" x14ac:dyDescent="0.25">
      <c r="A136">
        <v>4195</v>
      </c>
      <c r="B136" t="str">
        <f>"030206000"</f>
        <v>030206000</v>
      </c>
      <c r="C136" t="s">
        <v>614</v>
      </c>
      <c r="D136">
        <v>4826</v>
      </c>
      <c r="E136" t="str">
        <f>"030206101"</f>
        <v>030206101</v>
      </c>
      <c r="F136" t="s">
        <v>621</v>
      </c>
      <c r="G136" t="s">
        <v>42</v>
      </c>
      <c r="H136" t="s">
        <v>615</v>
      </c>
      <c r="I136" t="s">
        <v>616</v>
      </c>
      <c r="J136" t="s">
        <v>307</v>
      </c>
      <c r="K136" t="str">
        <f>"9286437333"</f>
        <v>9286437333</v>
      </c>
      <c r="L136" t="str">
        <f>"320"</f>
        <v>320</v>
      </c>
      <c r="M136" t="str">
        <f>"9286437324"</f>
        <v>9286437324</v>
      </c>
      <c r="N136" t="str">
        <f>""</f>
        <v/>
      </c>
      <c r="O136" t="s">
        <v>617</v>
      </c>
      <c r="P136" t="s">
        <v>618</v>
      </c>
      <c r="R136" t="s">
        <v>619</v>
      </c>
      <c r="S136" t="s">
        <v>36</v>
      </c>
      <c r="T136" t="str">
        <f>"86022"</f>
        <v>86022</v>
      </c>
      <c r="U136" t="str">
        <f>""</f>
        <v/>
      </c>
      <c r="V136" t="s">
        <v>620</v>
      </c>
      <c r="X136" t="s">
        <v>619</v>
      </c>
      <c r="Y136" t="s">
        <v>36</v>
      </c>
      <c r="Z136" t="str">
        <f>"86022"</f>
        <v>86022</v>
      </c>
      <c r="AA136" t="str">
        <f>""</f>
        <v/>
      </c>
      <c r="AB136" t="s">
        <v>40</v>
      </c>
    </row>
    <row r="137" spans="1:28" x14ac:dyDescent="0.25">
      <c r="A137">
        <v>4195</v>
      </c>
      <c r="B137" t="str">
        <f>"030206000"</f>
        <v>030206000</v>
      </c>
      <c r="C137" t="s">
        <v>614</v>
      </c>
      <c r="D137">
        <v>4828</v>
      </c>
      <c r="E137" t="str">
        <f>"030206203"</f>
        <v>030206203</v>
      </c>
      <c r="F137" t="s">
        <v>622</v>
      </c>
      <c r="G137" t="s">
        <v>42</v>
      </c>
      <c r="H137" t="s">
        <v>615</v>
      </c>
      <c r="I137" t="s">
        <v>616</v>
      </c>
      <c r="J137" t="s">
        <v>307</v>
      </c>
      <c r="K137" t="str">
        <f>"9286437333"</f>
        <v>9286437333</v>
      </c>
      <c r="L137" t="str">
        <f>"320"</f>
        <v>320</v>
      </c>
      <c r="M137" t="str">
        <f>""</f>
        <v/>
      </c>
      <c r="N137" t="str">
        <f>""</f>
        <v/>
      </c>
      <c r="O137" t="s">
        <v>617</v>
      </c>
      <c r="P137" t="s">
        <v>623</v>
      </c>
      <c r="R137" t="s">
        <v>619</v>
      </c>
      <c r="S137" t="s">
        <v>36</v>
      </c>
      <c r="T137" t="str">
        <f>"86022"</f>
        <v>86022</v>
      </c>
      <c r="U137" t="str">
        <f>""</f>
        <v/>
      </c>
      <c r="V137" t="s">
        <v>623</v>
      </c>
      <c r="X137" t="s">
        <v>619</v>
      </c>
      <c r="Y137" t="s">
        <v>36</v>
      </c>
      <c r="Z137" t="str">
        <f>"86022"</f>
        <v>86022</v>
      </c>
      <c r="AA137" t="str">
        <f>""</f>
        <v/>
      </c>
      <c r="AB137" t="s">
        <v>40</v>
      </c>
    </row>
    <row r="138" spans="1:28" x14ac:dyDescent="0.25">
      <c r="A138">
        <v>4196</v>
      </c>
      <c r="B138" t="str">
        <f t="shared" ref="B138:B144" si="21">"030208000"</f>
        <v>030208000</v>
      </c>
      <c r="C138" t="s">
        <v>624</v>
      </c>
      <c r="D138">
        <v>0</v>
      </c>
      <c r="E138" t="str">
        <f>""</f>
        <v/>
      </c>
      <c r="G138" t="s">
        <v>29</v>
      </c>
      <c r="H138" t="s">
        <v>625</v>
      </c>
      <c r="I138" t="s">
        <v>626</v>
      </c>
      <c r="J138" t="s">
        <v>134</v>
      </c>
      <c r="K138" t="str">
        <f>"9286084357"</f>
        <v>9286084357</v>
      </c>
      <c r="L138" t="str">
        <f>""</f>
        <v/>
      </c>
      <c r="M138" t="str">
        <f>"9286452805"</f>
        <v>9286452805</v>
      </c>
      <c r="N138" t="str">
        <f>""</f>
        <v/>
      </c>
      <c r="O138" t="s">
        <v>627</v>
      </c>
      <c r="P138" t="s">
        <v>628</v>
      </c>
      <c r="Q138" t="s">
        <v>629</v>
      </c>
      <c r="R138" t="s">
        <v>630</v>
      </c>
      <c r="S138" t="s">
        <v>36</v>
      </c>
      <c r="T138" t="str">
        <f t="shared" ref="T138:T144" si="22">"86040"</f>
        <v>86040</v>
      </c>
      <c r="U138" t="str">
        <f t="shared" ref="U138:U144" si="23">"1927"</f>
        <v>1927</v>
      </c>
      <c r="V138" t="s">
        <v>631</v>
      </c>
      <c r="W138" t="s">
        <v>629</v>
      </c>
      <c r="X138" t="s">
        <v>630</v>
      </c>
      <c r="Y138" t="s">
        <v>36</v>
      </c>
      <c r="Z138" t="str">
        <f t="shared" ref="Z138:Z144" si="24">"86040"</f>
        <v>86040</v>
      </c>
      <c r="AA138" t="str">
        <f t="shared" ref="AA138:AA144" si="25">"1927"</f>
        <v>1927</v>
      </c>
      <c r="AB138" t="s">
        <v>632</v>
      </c>
    </row>
    <row r="139" spans="1:28" x14ac:dyDescent="0.25">
      <c r="A139">
        <v>4196</v>
      </c>
      <c r="B139" t="str">
        <f t="shared" si="21"/>
        <v>030208000</v>
      </c>
      <c r="C139" t="s">
        <v>624</v>
      </c>
      <c r="D139">
        <v>4829</v>
      </c>
      <c r="E139" t="str">
        <f>"030208101"</f>
        <v>030208101</v>
      </c>
      <c r="F139" t="s">
        <v>633</v>
      </c>
      <c r="G139" t="s">
        <v>42</v>
      </c>
      <c r="H139" t="s">
        <v>634</v>
      </c>
      <c r="I139" t="s">
        <v>635</v>
      </c>
      <c r="J139" t="s">
        <v>636</v>
      </c>
      <c r="K139" t="str">
        <f t="shared" ref="K139:K144" si="26">"9286084105"</f>
        <v>9286084105</v>
      </c>
      <c r="L139" t="str">
        <f>""</f>
        <v/>
      </c>
      <c r="M139" t="str">
        <f>""</f>
        <v/>
      </c>
      <c r="N139" t="str">
        <f>""</f>
        <v/>
      </c>
      <c r="O139" t="s">
        <v>637</v>
      </c>
      <c r="P139" t="s">
        <v>628</v>
      </c>
      <c r="R139" t="s">
        <v>630</v>
      </c>
      <c r="S139" t="s">
        <v>36</v>
      </c>
      <c r="T139" t="str">
        <f t="shared" si="22"/>
        <v>86040</v>
      </c>
      <c r="U139" t="str">
        <f t="shared" si="23"/>
        <v>1927</v>
      </c>
      <c r="V139" t="s">
        <v>638</v>
      </c>
      <c r="X139" t="s">
        <v>630</v>
      </c>
      <c r="Y139" t="s">
        <v>36</v>
      </c>
      <c r="Z139" t="str">
        <f t="shared" si="24"/>
        <v>86040</v>
      </c>
      <c r="AA139" t="str">
        <f t="shared" si="25"/>
        <v>1927</v>
      </c>
      <c r="AB139" t="s">
        <v>632</v>
      </c>
    </row>
    <row r="140" spans="1:28" x14ac:dyDescent="0.25">
      <c r="A140">
        <v>4196</v>
      </c>
      <c r="B140" t="str">
        <f t="shared" si="21"/>
        <v>030208000</v>
      </c>
      <c r="C140" t="s">
        <v>624</v>
      </c>
      <c r="D140">
        <v>4830</v>
      </c>
      <c r="E140" t="str">
        <f>"030208102"</f>
        <v>030208102</v>
      </c>
      <c r="F140" t="s">
        <v>639</v>
      </c>
      <c r="G140" t="s">
        <v>42</v>
      </c>
      <c r="H140" t="s">
        <v>634</v>
      </c>
      <c r="I140" t="s">
        <v>635</v>
      </c>
      <c r="J140" t="s">
        <v>636</v>
      </c>
      <c r="K140" t="str">
        <f t="shared" si="26"/>
        <v>9286084105</v>
      </c>
      <c r="L140" t="str">
        <f>""</f>
        <v/>
      </c>
      <c r="M140" t="str">
        <f>"9286084103"</f>
        <v>9286084103</v>
      </c>
      <c r="N140" t="str">
        <f>""</f>
        <v/>
      </c>
      <c r="O140" t="s">
        <v>640</v>
      </c>
      <c r="P140" t="s">
        <v>628</v>
      </c>
      <c r="R140" t="s">
        <v>630</v>
      </c>
      <c r="S140" t="s">
        <v>36</v>
      </c>
      <c r="T140" t="str">
        <f t="shared" si="22"/>
        <v>86040</v>
      </c>
      <c r="U140" t="str">
        <f t="shared" si="23"/>
        <v>1927</v>
      </c>
      <c r="V140" t="s">
        <v>641</v>
      </c>
      <c r="X140" t="s">
        <v>630</v>
      </c>
      <c r="Y140" t="s">
        <v>36</v>
      </c>
      <c r="Z140" t="str">
        <f t="shared" si="24"/>
        <v>86040</v>
      </c>
      <c r="AA140" t="str">
        <f t="shared" si="25"/>
        <v>1927</v>
      </c>
      <c r="AB140" t="s">
        <v>632</v>
      </c>
    </row>
    <row r="141" spans="1:28" x14ac:dyDescent="0.25">
      <c r="A141">
        <v>4196</v>
      </c>
      <c r="B141" t="str">
        <f t="shared" si="21"/>
        <v>030208000</v>
      </c>
      <c r="C141" t="s">
        <v>624</v>
      </c>
      <c r="D141">
        <v>4831</v>
      </c>
      <c r="E141" t="str">
        <f>"030208106"</f>
        <v>030208106</v>
      </c>
      <c r="F141" t="s">
        <v>642</v>
      </c>
      <c r="G141" t="s">
        <v>42</v>
      </c>
      <c r="H141" t="s">
        <v>634</v>
      </c>
      <c r="I141" t="s">
        <v>635</v>
      </c>
      <c r="J141" t="s">
        <v>636</v>
      </c>
      <c r="K141" t="str">
        <f t="shared" si="26"/>
        <v>9286084105</v>
      </c>
      <c r="L141" t="str">
        <f>""</f>
        <v/>
      </c>
      <c r="M141" t="str">
        <f>""</f>
        <v/>
      </c>
      <c r="N141" t="str">
        <f>""</f>
        <v/>
      </c>
      <c r="O141" t="s">
        <v>640</v>
      </c>
      <c r="P141" t="s">
        <v>628</v>
      </c>
      <c r="R141" t="s">
        <v>630</v>
      </c>
      <c r="S141" t="s">
        <v>36</v>
      </c>
      <c r="T141" t="str">
        <f t="shared" si="22"/>
        <v>86040</v>
      </c>
      <c r="U141" t="str">
        <f t="shared" si="23"/>
        <v>1927</v>
      </c>
      <c r="V141" t="s">
        <v>643</v>
      </c>
      <c r="W141" t="s">
        <v>644</v>
      </c>
      <c r="X141" t="s">
        <v>630</v>
      </c>
      <c r="Y141" t="s">
        <v>36</v>
      </c>
      <c r="Z141" t="str">
        <f t="shared" si="24"/>
        <v>86040</v>
      </c>
      <c r="AA141" t="str">
        <f t="shared" si="25"/>
        <v>1927</v>
      </c>
      <c r="AB141" t="s">
        <v>632</v>
      </c>
    </row>
    <row r="142" spans="1:28" x14ac:dyDescent="0.25">
      <c r="A142">
        <v>4196</v>
      </c>
      <c r="B142" t="str">
        <f t="shared" si="21"/>
        <v>030208000</v>
      </c>
      <c r="C142" t="s">
        <v>624</v>
      </c>
      <c r="D142">
        <v>4832</v>
      </c>
      <c r="E142" t="str">
        <f>"030208209"</f>
        <v>030208209</v>
      </c>
      <c r="F142" t="s">
        <v>645</v>
      </c>
      <c r="G142" t="s">
        <v>42</v>
      </c>
      <c r="H142" t="s">
        <v>634</v>
      </c>
      <c r="I142" t="s">
        <v>635</v>
      </c>
      <c r="J142" t="s">
        <v>636</v>
      </c>
      <c r="K142" t="str">
        <f t="shared" si="26"/>
        <v>9286084105</v>
      </c>
      <c r="L142" t="str">
        <f>""</f>
        <v/>
      </c>
      <c r="M142" t="str">
        <f>"9286084103"</f>
        <v>9286084103</v>
      </c>
      <c r="N142" t="str">
        <f>""</f>
        <v/>
      </c>
      <c r="O142" t="s">
        <v>640</v>
      </c>
      <c r="P142" t="s">
        <v>628</v>
      </c>
      <c r="R142" t="s">
        <v>630</v>
      </c>
      <c r="S142" t="s">
        <v>36</v>
      </c>
      <c r="T142" t="str">
        <f t="shared" si="22"/>
        <v>86040</v>
      </c>
      <c r="U142" t="str">
        <f t="shared" si="23"/>
        <v>1927</v>
      </c>
      <c r="V142" t="s">
        <v>646</v>
      </c>
      <c r="X142" t="s">
        <v>630</v>
      </c>
      <c r="Y142" t="s">
        <v>36</v>
      </c>
      <c r="Z142" t="str">
        <f t="shared" si="24"/>
        <v>86040</v>
      </c>
      <c r="AA142" t="str">
        <f t="shared" si="25"/>
        <v>1927</v>
      </c>
      <c r="AB142" t="s">
        <v>632</v>
      </c>
    </row>
    <row r="143" spans="1:28" x14ac:dyDescent="0.25">
      <c r="A143">
        <v>4196</v>
      </c>
      <c r="B143" t="str">
        <f t="shared" si="21"/>
        <v>030208000</v>
      </c>
      <c r="C143" t="s">
        <v>624</v>
      </c>
      <c r="D143">
        <v>81127</v>
      </c>
      <c r="E143" t="str">
        <f>"030199006"</f>
        <v>030199006</v>
      </c>
      <c r="F143" t="s">
        <v>647</v>
      </c>
      <c r="G143" t="s">
        <v>42</v>
      </c>
      <c r="H143" t="s">
        <v>634</v>
      </c>
      <c r="I143" t="s">
        <v>635</v>
      </c>
      <c r="J143" t="s">
        <v>636</v>
      </c>
      <c r="K143" t="str">
        <f t="shared" si="26"/>
        <v>9286084105</v>
      </c>
      <c r="L143" t="str">
        <f>""</f>
        <v/>
      </c>
      <c r="M143" t="str">
        <f>"9286084103"</f>
        <v>9286084103</v>
      </c>
      <c r="N143" t="str">
        <f>""</f>
        <v/>
      </c>
      <c r="O143" t="s">
        <v>640</v>
      </c>
      <c r="P143" t="s">
        <v>628</v>
      </c>
      <c r="R143" t="s">
        <v>630</v>
      </c>
      <c r="S143" t="s">
        <v>36</v>
      </c>
      <c r="T143" t="str">
        <f t="shared" si="22"/>
        <v>86040</v>
      </c>
      <c r="U143" t="str">
        <f t="shared" si="23"/>
        <v>1927</v>
      </c>
      <c r="V143" t="s">
        <v>648</v>
      </c>
      <c r="X143" t="s">
        <v>630</v>
      </c>
      <c r="Y143" t="s">
        <v>36</v>
      </c>
      <c r="Z143" t="str">
        <f t="shared" si="24"/>
        <v>86040</v>
      </c>
      <c r="AA143" t="str">
        <f t="shared" si="25"/>
        <v>1927</v>
      </c>
      <c r="AB143" t="s">
        <v>632</v>
      </c>
    </row>
    <row r="144" spans="1:28" x14ac:dyDescent="0.25">
      <c r="A144">
        <v>4196</v>
      </c>
      <c r="B144" t="str">
        <f t="shared" si="21"/>
        <v>030208000</v>
      </c>
      <c r="C144" t="s">
        <v>624</v>
      </c>
      <c r="D144">
        <v>92913</v>
      </c>
      <c r="E144" t="str">
        <f>"030208210"</f>
        <v>030208210</v>
      </c>
      <c r="F144" t="s">
        <v>649</v>
      </c>
      <c r="G144" t="s">
        <v>42</v>
      </c>
      <c r="H144" t="s">
        <v>634</v>
      </c>
      <c r="I144" t="s">
        <v>635</v>
      </c>
      <c r="J144" t="s">
        <v>650</v>
      </c>
      <c r="K144" t="str">
        <f t="shared" si="26"/>
        <v>9286084105</v>
      </c>
      <c r="L144" t="str">
        <f>""</f>
        <v/>
      </c>
      <c r="M144" t="str">
        <f>"9286084103"</f>
        <v>9286084103</v>
      </c>
      <c r="N144" t="str">
        <f>""</f>
        <v/>
      </c>
      <c r="O144" t="s">
        <v>640</v>
      </c>
      <c r="P144" t="s">
        <v>651</v>
      </c>
      <c r="R144" t="s">
        <v>630</v>
      </c>
      <c r="S144" t="s">
        <v>36</v>
      </c>
      <c r="T144" t="str">
        <f t="shared" si="22"/>
        <v>86040</v>
      </c>
      <c r="U144" t="str">
        <f t="shared" si="23"/>
        <v>1927</v>
      </c>
      <c r="V144" t="s">
        <v>631</v>
      </c>
      <c r="X144" t="s">
        <v>630</v>
      </c>
      <c r="Y144" t="s">
        <v>36</v>
      </c>
      <c r="Z144" t="str">
        <f t="shared" si="24"/>
        <v>86040</v>
      </c>
      <c r="AA144" t="str">
        <f t="shared" si="25"/>
        <v>1927</v>
      </c>
      <c r="AB144" t="s">
        <v>632</v>
      </c>
    </row>
    <row r="145" spans="1:28" x14ac:dyDescent="0.25">
      <c r="A145">
        <v>4197</v>
      </c>
      <c r="B145" t="str">
        <f t="shared" ref="B145:B151" si="27">"030215000"</f>
        <v>030215000</v>
      </c>
      <c r="C145" t="s">
        <v>652</v>
      </c>
      <c r="D145">
        <v>0</v>
      </c>
      <c r="E145" t="str">
        <f>""</f>
        <v/>
      </c>
      <c r="G145" t="s">
        <v>29</v>
      </c>
      <c r="H145" t="s">
        <v>653</v>
      </c>
      <c r="I145" t="s">
        <v>654</v>
      </c>
      <c r="J145" t="s">
        <v>655</v>
      </c>
      <c r="K145" t="str">
        <f t="shared" ref="K145:K151" si="28">"9282831120"</f>
        <v>9282831120</v>
      </c>
      <c r="L145" t="str">
        <f>"1120"</f>
        <v>1120</v>
      </c>
      <c r="M145" t="str">
        <f>"9282831221"</f>
        <v>9282831221</v>
      </c>
      <c r="N145" t="str">
        <f>"1221"</f>
        <v>1221</v>
      </c>
      <c r="O145" t="s">
        <v>656</v>
      </c>
      <c r="P145" t="s">
        <v>657</v>
      </c>
      <c r="Q145" t="s">
        <v>658</v>
      </c>
      <c r="R145" t="s">
        <v>659</v>
      </c>
      <c r="S145" t="s">
        <v>36</v>
      </c>
      <c r="T145" t="str">
        <f t="shared" ref="T145:T151" si="29">"86045"</f>
        <v>86045</v>
      </c>
      <c r="U145" t="str">
        <f>""</f>
        <v/>
      </c>
      <c r="V145" t="s">
        <v>657</v>
      </c>
      <c r="W145" t="s">
        <v>660</v>
      </c>
      <c r="X145" t="s">
        <v>659</v>
      </c>
      <c r="Y145" t="s">
        <v>36</v>
      </c>
      <c r="Z145" t="str">
        <f>"86045"</f>
        <v>86045</v>
      </c>
      <c r="AA145" t="str">
        <f>""</f>
        <v/>
      </c>
      <c r="AB145" t="s">
        <v>124</v>
      </c>
    </row>
    <row r="146" spans="1:28" x14ac:dyDescent="0.25">
      <c r="A146">
        <v>4197</v>
      </c>
      <c r="B146" t="str">
        <f t="shared" si="27"/>
        <v>030215000</v>
      </c>
      <c r="C146" t="s">
        <v>652</v>
      </c>
      <c r="D146">
        <v>4833</v>
      </c>
      <c r="E146" t="str">
        <f>"030215110"</f>
        <v>030215110</v>
      </c>
      <c r="F146" t="s">
        <v>661</v>
      </c>
      <c r="G146" t="s">
        <v>42</v>
      </c>
      <c r="H146" t="s">
        <v>653</v>
      </c>
      <c r="I146" t="s">
        <v>654</v>
      </c>
      <c r="J146" t="s">
        <v>655</v>
      </c>
      <c r="K146" t="str">
        <f t="shared" si="28"/>
        <v>9282831120</v>
      </c>
      <c r="L146" t="str">
        <f>""</f>
        <v/>
      </c>
      <c r="M146" t="str">
        <f t="shared" ref="M146:M151" si="30">"9282831220"</f>
        <v>9282831220</v>
      </c>
      <c r="N146" t="str">
        <f>""</f>
        <v/>
      </c>
      <c r="O146" t="s">
        <v>656</v>
      </c>
      <c r="P146" t="s">
        <v>657</v>
      </c>
      <c r="Q146" t="s">
        <v>662</v>
      </c>
      <c r="R146" t="s">
        <v>659</v>
      </c>
      <c r="S146" t="s">
        <v>36</v>
      </c>
      <c r="T146" t="str">
        <f t="shared" si="29"/>
        <v>86045</v>
      </c>
      <c r="U146" t="str">
        <f>""</f>
        <v/>
      </c>
      <c r="V146" t="s">
        <v>663</v>
      </c>
      <c r="X146" t="s">
        <v>659</v>
      </c>
      <c r="Y146" t="s">
        <v>36</v>
      </c>
      <c r="Z146" t="str">
        <f>"86045"</f>
        <v>86045</v>
      </c>
      <c r="AA146" t="str">
        <f>""</f>
        <v/>
      </c>
      <c r="AB146" t="s">
        <v>124</v>
      </c>
    </row>
    <row r="147" spans="1:28" x14ac:dyDescent="0.25">
      <c r="A147">
        <v>4197</v>
      </c>
      <c r="B147" t="str">
        <f t="shared" si="27"/>
        <v>030215000</v>
      </c>
      <c r="C147" t="s">
        <v>652</v>
      </c>
      <c r="D147">
        <v>4834</v>
      </c>
      <c r="E147" t="str">
        <f>"030215111"</f>
        <v>030215111</v>
      </c>
      <c r="F147" t="s">
        <v>664</v>
      </c>
      <c r="G147" t="s">
        <v>42</v>
      </c>
      <c r="H147" t="s">
        <v>653</v>
      </c>
      <c r="I147" t="s">
        <v>654</v>
      </c>
      <c r="J147" t="s">
        <v>655</v>
      </c>
      <c r="K147" t="str">
        <f t="shared" si="28"/>
        <v>9282831120</v>
      </c>
      <c r="L147" t="str">
        <f>""</f>
        <v/>
      </c>
      <c r="M147" t="str">
        <f t="shared" si="30"/>
        <v>9282831220</v>
      </c>
      <c r="N147" t="str">
        <f>""</f>
        <v/>
      </c>
      <c r="O147" t="s">
        <v>656</v>
      </c>
      <c r="P147" t="s">
        <v>662</v>
      </c>
      <c r="R147" t="s">
        <v>659</v>
      </c>
      <c r="S147" t="s">
        <v>36</v>
      </c>
      <c r="T147" t="str">
        <f t="shared" si="29"/>
        <v>86045</v>
      </c>
      <c r="U147" t="str">
        <f>""</f>
        <v/>
      </c>
      <c r="V147" t="s">
        <v>665</v>
      </c>
      <c r="X147" t="s">
        <v>666</v>
      </c>
      <c r="Y147" t="s">
        <v>36</v>
      </c>
      <c r="Z147" t="str">
        <f>"86020"</f>
        <v>86020</v>
      </c>
      <c r="AA147" t="str">
        <f>""</f>
        <v/>
      </c>
      <c r="AB147" t="s">
        <v>124</v>
      </c>
    </row>
    <row r="148" spans="1:28" x14ac:dyDescent="0.25">
      <c r="A148">
        <v>4197</v>
      </c>
      <c r="B148" t="str">
        <f t="shared" si="27"/>
        <v>030215000</v>
      </c>
      <c r="C148" t="s">
        <v>652</v>
      </c>
      <c r="D148">
        <v>4835</v>
      </c>
      <c r="E148" t="str">
        <f>"030215112"</f>
        <v>030215112</v>
      </c>
      <c r="F148" t="s">
        <v>667</v>
      </c>
      <c r="G148" t="s">
        <v>42</v>
      </c>
      <c r="H148" t="s">
        <v>653</v>
      </c>
      <c r="I148" t="s">
        <v>654</v>
      </c>
      <c r="J148" t="s">
        <v>655</v>
      </c>
      <c r="K148" t="str">
        <f t="shared" si="28"/>
        <v>9282831120</v>
      </c>
      <c r="L148" t="str">
        <f>""</f>
        <v/>
      </c>
      <c r="M148" t="str">
        <f t="shared" si="30"/>
        <v>9282831220</v>
      </c>
      <c r="N148" t="str">
        <f>""</f>
        <v/>
      </c>
      <c r="O148" t="s">
        <v>656</v>
      </c>
      <c r="P148" t="s">
        <v>657</v>
      </c>
      <c r="Q148" t="s">
        <v>662</v>
      </c>
      <c r="R148" t="s">
        <v>659</v>
      </c>
      <c r="S148" t="s">
        <v>36</v>
      </c>
      <c r="T148" t="str">
        <f t="shared" si="29"/>
        <v>86045</v>
      </c>
      <c r="U148" t="str">
        <f>""</f>
        <v/>
      </c>
      <c r="V148" t="s">
        <v>668</v>
      </c>
      <c r="X148" t="s">
        <v>669</v>
      </c>
      <c r="Y148" t="s">
        <v>36</v>
      </c>
      <c r="Z148" t="str">
        <f>"86020"</f>
        <v>86020</v>
      </c>
      <c r="AA148" t="str">
        <f>""</f>
        <v/>
      </c>
      <c r="AB148" t="s">
        <v>124</v>
      </c>
    </row>
    <row r="149" spans="1:28" x14ac:dyDescent="0.25">
      <c r="A149">
        <v>4197</v>
      </c>
      <c r="B149" t="str">
        <f t="shared" si="27"/>
        <v>030215000</v>
      </c>
      <c r="C149" t="s">
        <v>652</v>
      </c>
      <c r="D149">
        <v>4837</v>
      </c>
      <c r="E149" t="str">
        <f>"030215130"</f>
        <v>030215130</v>
      </c>
      <c r="F149" t="s">
        <v>670</v>
      </c>
      <c r="G149" t="s">
        <v>42</v>
      </c>
      <c r="H149" t="s">
        <v>653</v>
      </c>
      <c r="I149" t="s">
        <v>654</v>
      </c>
      <c r="J149" t="s">
        <v>655</v>
      </c>
      <c r="K149" t="str">
        <f t="shared" si="28"/>
        <v>9282831120</v>
      </c>
      <c r="L149" t="str">
        <f>""</f>
        <v/>
      </c>
      <c r="M149" t="str">
        <f t="shared" si="30"/>
        <v>9282831220</v>
      </c>
      <c r="N149" t="str">
        <f>""</f>
        <v/>
      </c>
      <c r="O149" t="s">
        <v>656</v>
      </c>
      <c r="P149" t="s">
        <v>657</v>
      </c>
      <c r="Q149" t="s">
        <v>662</v>
      </c>
      <c r="R149" t="s">
        <v>659</v>
      </c>
      <c r="S149" t="s">
        <v>36</v>
      </c>
      <c r="T149" t="str">
        <f t="shared" si="29"/>
        <v>86045</v>
      </c>
      <c r="U149" t="str">
        <f>""</f>
        <v/>
      </c>
      <c r="V149" t="s">
        <v>660</v>
      </c>
      <c r="X149" t="s">
        <v>659</v>
      </c>
      <c r="Y149" t="s">
        <v>36</v>
      </c>
      <c r="Z149" t="str">
        <f>"86045"</f>
        <v>86045</v>
      </c>
      <c r="AA149" t="str">
        <f>""</f>
        <v/>
      </c>
      <c r="AB149" t="s">
        <v>124</v>
      </c>
    </row>
    <row r="150" spans="1:28" x14ac:dyDescent="0.25">
      <c r="A150">
        <v>4197</v>
      </c>
      <c r="B150" t="str">
        <f t="shared" si="27"/>
        <v>030215000</v>
      </c>
      <c r="C150" t="s">
        <v>652</v>
      </c>
      <c r="D150">
        <v>4838</v>
      </c>
      <c r="E150" t="str">
        <f>"030215240"</f>
        <v>030215240</v>
      </c>
      <c r="F150" t="s">
        <v>671</v>
      </c>
      <c r="G150" t="s">
        <v>42</v>
      </c>
      <c r="H150" t="s">
        <v>653</v>
      </c>
      <c r="I150" t="s">
        <v>654</v>
      </c>
      <c r="J150" t="s">
        <v>655</v>
      </c>
      <c r="K150" t="str">
        <f t="shared" si="28"/>
        <v>9282831120</v>
      </c>
      <c r="L150" t="str">
        <f>""</f>
        <v/>
      </c>
      <c r="M150" t="str">
        <f t="shared" si="30"/>
        <v>9282831220</v>
      </c>
      <c r="N150" t="str">
        <f>""</f>
        <v/>
      </c>
      <c r="O150" t="s">
        <v>656</v>
      </c>
      <c r="P150" t="s">
        <v>672</v>
      </c>
      <c r="Q150" t="s">
        <v>662</v>
      </c>
      <c r="R150" t="s">
        <v>659</v>
      </c>
      <c r="S150" t="s">
        <v>36</v>
      </c>
      <c r="T150" t="str">
        <f t="shared" si="29"/>
        <v>86045</v>
      </c>
      <c r="U150" t="str">
        <f>""</f>
        <v/>
      </c>
      <c r="V150" t="s">
        <v>673</v>
      </c>
      <c r="X150" t="s">
        <v>659</v>
      </c>
      <c r="Y150" t="s">
        <v>36</v>
      </c>
      <c r="Z150" t="str">
        <f>"86045"</f>
        <v>86045</v>
      </c>
      <c r="AA150" t="str">
        <f>""</f>
        <v/>
      </c>
      <c r="AB150" t="s">
        <v>124</v>
      </c>
    </row>
    <row r="151" spans="1:28" x14ac:dyDescent="0.25">
      <c r="A151">
        <v>4197</v>
      </c>
      <c r="B151" t="str">
        <f t="shared" si="27"/>
        <v>030215000</v>
      </c>
      <c r="C151" t="s">
        <v>652</v>
      </c>
      <c r="D151">
        <v>78916</v>
      </c>
      <c r="E151" t="str">
        <f>"030215140"</f>
        <v>030215140</v>
      </c>
      <c r="F151" t="s">
        <v>674</v>
      </c>
      <c r="G151" t="s">
        <v>42</v>
      </c>
      <c r="H151" t="s">
        <v>653</v>
      </c>
      <c r="I151" t="s">
        <v>654</v>
      </c>
      <c r="J151" t="s">
        <v>675</v>
      </c>
      <c r="K151" t="str">
        <f t="shared" si="28"/>
        <v>9282831120</v>
      </c>
      <c r="L151" t="str">
        <f>""</f>
        <v/>
      </c>
      <c r="M151" t="str">
        <f t="shared" si="30"/>
        <v>9282831220</v>
      </c>
      <c r="N151" t="str">
        <f>""</f>
        <v/>
      </c>
      <c r="O151" t="s">
        <v>656</v>
      </c>
      <c r="P151" t="s">
        <v>676</v>
      </c>
      <c r="Q151" t="s">
        <v>662</v>
      </c>
      <c r="R151" t="s">
        <v>659</v>
      </c>
      <c r="S151" t="s">
        <v>36</v>
      </c>
      <c r="T151" t="str">
        <f t="shared" si="29"/>
        <v>86045</v>
      </c>
      <c r="U151" t="str">
        <f>""</f>
        <v/>
      </c>
      <c r="V151" t="s">
        <v>676</v>
      </c>
      <c r="W151" t="s">
        <v>677</v>
      </c>
      <c r="X151" t="s">
        <v>659</v>
      </c>
      <c r="Y151" t="s">
        <v>36</v>
      </c>
      <c r="Z151" t="str">
        <f>"86045"</f>
        <v>86045</v>
      </c>
      <c r="AA151" t="str">
        <f>""</f>
        <v/>
      </c>
      <c r="AB151" t="s">
        <v>124</v>
      </c>
    </row>
    <row r="152" spans="1:28" x14ac:dyDescent="0.25">
      <c r="A152">
        <v>4199</v>
      </c>
      <c r="B152" t="str">
        <f>"030310000"</f>
        <v>030310000</v>
      </c>
      <c r="C152" t="s">
        <v>678</v>
      </c>
      <c r="D152">
        <v>0</v>
      </c>
      <c r="E152" t="str">
        <f>""</f>
        <v/>
      </c>
      <c r="G152" t="s">
        <v>29</v>
      </c>
      <c r="H152" t="s">
        <v>679</v>
      </c>
      <c r="I152" t="s">
        <v>680</v>
      </c>
      <c r="J152" t="s">
        <v>681</v>
      </c>
      <c r="K152" t="str">
        <f>"9286352115"</f>
        <v>9286352115</v>
      </c>
      <c r="L152" t="str">
        <f>"121"</f>
        <v>121</v>
      </c>
      <c r="M152" t="str">
        <f>"9286355320"</f>
        <v>9286355320</v>
      </c>
      <c r="N152" t="str">
        <f>""</f>
        <v/>
      </c>
      <c r="O152" t="s">
        <v>682</v>
      </c>
      <c r="P152" t="s">
        <v>683</v>
      </c>
      <c r="R152" t="s">
        <v>684</v>
      </c>
      <c r="S152" t="s">
        <v>36</v>
      </c>
      <c r="T152" t="str">
        <f>"86018"</f>
        <v>86018</v>
      </c>
      <c r="U152" t="str">
        <f>""</f>
        <v/>
      </c>
      <c r="V152" t="s">
        <v>685</v>
      </c>
      <c r="X152" t="s">
        <v>684</v>
      </c>
      <c r="Y152" t="s">
        <v>36</v>
      </c>
      <c r="Z152" t="str">
        <f>"86018"</f>
        <v>86018</v>
      </c>
      <c r="AA152" t="str">
        <f>""</f>
        <v/>
      </c>
      <c r="AB152" t="s">
        <v>686</v>
      </c>
    </row>
    <row r="153" spans="1:28" x14ac:dyDescent="0.25">
      <c r="A153">
        <v>4199</v>
      </c>
      <c r="B153" t="str">
        <f>"030310000"</f>
        <v>030310000</v>
      </c>
      <c r="C153" t="s">
        <v>678</v>
      </c>
      <c r="D153">
        <v>4839</v>
      </c>
      <c r="E153" t="str">
        <f>"030310101"</f>
        <v>030310101</v>
      </c>
      <c r="F153" t="s">
        <v>687</v>
      </c>
      <c r="G153" t="s">
        <v>42</v>
      </c>
      <c r="H153" t="s">
        <v>688</v>
      </c>
      <c r="I153" t="s">
        <v>680</v>
      </c>
      <c r="J153" t="s">
        <v>32</v>
      </c>
      <c r="K153" t="str">
        <f>"9286352115"</f>
        <v>9286352115</v>
      </c>
      <c r="L153" t="str">
        <f>"121"</f>
        <v>121</v>
      </c>
      <c r="M153" t="str">
        <f>"9286355320"</f>
        <v>9286355320</v>
      </c>
      <c r="N153" t="str">
        <f>""</f>
        <v/>
      </c>
      <c r="O153" t="s">
        <v>689</v>
      </c>
      <c r="P153" t="s">
        <v>690</v>
      </c>
      <c r="R153" t="s">
        <v>684</v>
      </c>
      <c r="S153" t="s">
        <v>36</v>
      </c>
      <c r="T153" t="str">
        <f>"86018"</f>
        <v>86018</v>
      </c>
      <c r="U153" t="str">
        <f>""</f>
        <v/>
      </c>
      <c r="V153" t="s">
        <v>691</v>
      </c>
      <c r="X153" t="s">
        <v>684</v>
      </c>
      <c r="Y153" t="s">
        <v>36</v>
      </c>
      <c r="Z153" t="str">
        <f>"86018"</f>
        <v>86018</v>
      </c>
      <c r="AA153" t="str">
        <f>""</f>
        <v/>
      </c>
      <c r="AB153" t="s">
        <v>686</v>
      </c>
    </row>
    <row r="154" spans="1:28" x14ac:dyDescent="0.25">
      <c r="A154">
        <v>4208</v>
      </c>
      <c r="B154" t="str">
        <f>"040201000"</f>
        <v>040201000</v>
      </c>
      <c r="C154" t="s">
        <v>692</v>
      </c>
      <c r="D154">
        <v>0</v>
      </c>
      <c r="E154" t="str">
        <f>""</f>
        <v/>
      </c>
      <c r="G154" t="s">
        <v>29</v>
      </c>
      <c r="H154" t="s">
        <v>693</v>
      </c>
      <c r="I154" t="s">
        <v>694</v>
      </c>
      <c r="J154" t="s">
        <v>32</v>
      </c>
      <c r="K154" t="str">
        <f>"9284026043"</f>
        <v>9284026043</v>
      </c>
      <c r="L154" t="str">
        <f>""</f>
        <v/>
      </c>
      <c r="M154" t="str">
        <f>"9284258712"</f>
        <v>9284258712</v>
      </c>
      <c r="N154" t="str">
        <f>""</f>
        <v/>
      </c>
      <c r="O154" t="s">
        <v>695</v>
      </c>
      <c r="P154" t="s">
        <v>696</v>
      </c>
      <c r="R154" t="s">
        <v>697</v>
      </c>
      <c r="S154" t="s">
        <v>36</v>
      </c>
      <c r="T154" t="str">
        <f>"85501"</f>
        <v>85501</v>
      </c>
      <c r="U154" t="str">
        <f>""</f>
        <v/>
      </c>
      <c r="V154" t="s">
        <v>698</v>
      </c>
      <c r="X154" t="s">
        <v>697</v>
      </c>
      <c r="Y154" t="s">
        <v>36</v>
      </c>
      <c r="Z154" t="str">
        <f>"85501"</f>
        <v>85501</v>
      </c>
      <c r="AA154" t="str">
        <f>""</f>
        <v/>
      </c>
      <c r="AB154" t="s">
        <v>699</v>
      </c>
    </row>
    <row r="155" spans="1:28" x14ac:dyDescent="0.25">
      <c r="A155">
        <v>4208</v>
      </c>
      <c r="B155" t="str">
        <f>"040201000"</f>
        <v>040201000</v>
      </c>
      <c r="C155" t="s">
        <v>692</v>
      </c>
      <c r="D155">
        <v>4854</v>
      </c>
      <c r="E155" t="str">
        <f>"040201003"</f>
        <v>040201003</v>
      </c>
      <c r="F155" t="s">
        <v>700</v>
      </c>
      <c r="G155" t="s">
        <v>42</v>
      </c>
      <c r="H155" t="s">
        <v>693</v>
      </c>
      <c r="I155" t="s">
        <v>694</v>
      </c>
      <c r="J155" t="s">
        <v>32</v>
      </c>
      <c r="K155" t="str">
        <f>"9284026043"</f>
        <v>9284026043</v>
      </c>
      <c r="L155" t="str">
        <f>""</f>
        <v/>
      </c>
      <c r="M155" t="str">
        <f>"9284258912"</f>
        <v>9284258912</v>
      </c>
      <c r="N155" t="str">
        <f>""</f>
        <v/>
      </c>
      <c r="O155" t="s">
        <v>701</v>
      </c>
      <c r="P155" t="s">
        <v>696</v>
      </c>
      <c r="R155" t="s">
        <v>697</v>
      </c>
      <c r="S155" t="s">
        <v>36</v>
      </c>
      <c r="T155" t="str">
        <f>"85501"</f>
        <v>85501</v>
      </c>
      <c r="U155" t="str">
        <f>""</f>
        <v/>
      </c>
      <c r="V155" t="s">
        <v>702</v>
      </c>
      <c r="X155" t="s">
        <v>697</v>
      </c>
      <c r="Y155" t="s">
        <v>36</v>
      </c>
      <c r="Z155" t="str">
        <f>"85501"</f>
        <v>85501</v>
      </c>
      <c r="AA155" t="str">
        <f>""</f>
        <v/>
      </c>
      <c r="AB155" t="s">
        <v>699</v>
      </c>
    </row>
    <row r="156" spans="1:28" x14ac:dyDescent="0.25">
      <c r="A156">
        <v>4208</v>
      </c>
      <c r="B156" t="str">
        <f>"040201000"</f>
        <v>040201000</v>
      </c>
      <c r="C156" t="s">
        <v>692</v>
      </c>
      <c r="D156">
        <v>4855</v>
      </c>
      <c r="E156" t="str">
        <f>"040201004"</f>
        <v>040201004</v>
      </c>
      <c r="F156" t="s">
        <v>703</v>
      </c>
      <c r="G156" t="s">
        <v>42</v>
      </c>
      <c r="H156" t="s">
        <v>693</v>
      </c>
      <c r="I156" t="s">
        <v>694</v>
      </c>
      <c r="J156" t="s">
        <v>32</v>
      </c>
      <c r="K156" t="str">
        <f>"9284026043"</f>
        <v>9284026043</v>
      </c>
      <c r="L156" t="str">
        <f>""</f>
        <v/>
      </c>
      <c r="M156" t="str">
        <f>"9284258912"</f>
        <v>9284258912</v>
      </c>
      <c r="N156" t="str">
        <f>""</f>
        <v/>
      </c>
      <c r="O156" t="s">
        <v>701</v>
      </c>
      <c r="P156" t="s">
        <v>696</v>
      </c>
      <c r="R156" t="s">
        <v>697</v>
      </c>
      <c r="S156" t="s">
        <v>36</v>
      </c>
      <c r="T156" t="str">
        <f>"85501"</f>
        <v>85501</v>
      </c>
      <c r="U156" t="str">
        <f>""</f>
        <v/>
      </c>
      <c r="V156" t="s">
        <v>704</v>
      </c>
      <c r="X156" t="s">
        <v>697</v>
      </c>
      <c r="Y156" t="s">
        <v>36</v>
      </c>
      <c r="Z156" t="str">
        <f>"85501"</f>
        <v>85501</v>
      </c>
      <c r="AA156" t="str">
        <f>""</f>
        <v/>
      </c>
      <c r="AB156" t="s">
        <v>699</v>
      </c>
    </row>
    <row r="157" spans="1:28" x14ac:dyDescent="0.25">
      <c r="A157">
        <v>4208</v>
      </c>
      <c r="B157" t="str">
        <f>"040201000"</f>
        <v>040201000</v>
      </c>
      <c r="C157" t="s">
        <v>692</v>
      </c>
      <c r="D157">
        <v>85831</v>
      </c>
      <c r="E157" t="str">
        <f>"040201105"</f>
        <v>040201105</v>
      </c>
      <c r="F157" t="s">
        <v>705</v>
      </c>
      <c r="G157" t="s">
        <v>42</v>
      </c>
      <c r="H157" t="s">
        <v>693</v>
      </c>
      <c r="I157" t="s">
        <v>694</v>
      </c>
      <c r="J157" t="s">
        <v>32</v>
      </c>
      <c r="K157" t="str">
        <f>"9284026043"</f>
        <v>9284026043</v>
      </c>
      <c r="L157" t="str">
        <f>""</f>
        <v/>
      </c>
      <c r="M157" t="str">
        <f>"9284258912"</f>
        <v>9284258912</v>
      </c>
      <c r="N157" t="str">
        <f>""</f>
        <v/>
      </c>
      <c r="O157" t="s">
        <v>701</v>
      </c>
      <c r="P157" t="s">
        <v>696</v>
      </c>
      <c r="R157" t="s">
        <v>697</v>
      </c>
      <c r="S157" t="s">
        <v>36</v>
      </c>
      <c r="T157" t="str">
        <f>"85501"</f>
        <v>85501</v>
      </c>
      <c r="U157" t="str">
        <f>""</f>
        <v/>
      </c>
      <c r="V157" t="s">
        <v>706</v>
      </c>
      <c r="X157" t="s">
        <v>697</v>
      </c>
      <c r="Y157" t="s">
        <v>36</v>
      </c>
      <c r="Z157" t="str">
        <f>"85501"</f>
        <v>85501</v>
      </c>
      <c r="AA157" t="str">
        <f>""</f>
        <v/>
      </c>
      <c r="AB157" t="s">
        <v>699</v>
      </c>
    </row>
    <row r="158" spans="1:28" x14ac:dyDescent="0.25">
      <c r="A158">
        <v>4209</v>
      </c>
      <c r="B158" t="str">
        <f t="shared" ref="B158:B163" si="31">"040210000"</f>
        <v>040210000</v>
      </c>
      <c r="C158" t="s">
        <v>707</v>
      </c>
      <c r="D158">
        <v>0</v>
      </c>
      <c r="E158" t="str">
        <f>""</f>
        <v/>
      </c>
      <c r="G158" t="s">
        <v>29</v>
      </c>
      <c r="H158" t="s">
        <v>708</v>
      </c>
      <c r="I158" t="s">
        <v>709</v>
      </c>
      <c r="J158" t="s">
        <v>710</v>
      </c>
      <c r="K158" t="str">
        <f t="shared" ref="K158:K163" si="32">"9284725703"</f>
        <v>9284725703</v>
      </c>
      <c r="L158" t="str">
        <f>""</f>
        <v/>
      </c>
      <c r="M158" t="str">
        <f>""</f>
        <v/>
      </c>
      <c r="N158" t="str">
        <f>""</f>
        <v/>
      </c>
      <c r="O158" t="s">
        <v>711</v>
      </c>
      <c r="P158" t="s">
        <v>712</v>
      </c>
      <c r="R158" t="s">
        <v>713</v>
      </c>
      <c r="S158" t="s">
        <v>36</v>
      </c>
      <c r="T158" t="str">
        <f t="shared" ref="T158:T163" si="33">"85547"</f>
        <v>85547</v>
      </c>
      <c r="U158" t="str">
        <f>""</f>
        <v/>
      </c>
      <c r="V158" t="s">
        <v>714</v>
      </c>
      <c r="X158" t="s">
        <v>713</v>
      </c>
      <c r="Y158" t="s">
        <v>36</v>
      </c>
      <c r="Z158" t="str">
        <f t="shared" ref="Z158:Z163" si="34">"85541"</f>
        <v>85541</v>
      </c>
      <c r="AA158" t="str">
        <f>""</f>
        <v/>
      </c>
      <c r="AB158" t="s">
        <v>465</v>
      </c>
    </row>
    <row r="159" spans="1:28" x14ac:dyDescent="0.25">
      <c r="A159">
        <v>4209</v>
      </c>
      <c r="B159" t="str">
        <f t="shared" si="31"/>
        <v>040210000</v>
      </c>
      <c r="C159" t="s">
        <v>707</v>
      </c>
      <c r="D159">
        <v>4856</v>
      </c>
      <c r="E159" t="str">
        <f>"040210102"</f>
        <v>040210102</v>
      </c>
      <c r="F159" t="s">
        <v>715</v>
      </c>
      <c r="G159" t="s">
        <v>42</v>
      </c>
      <c r="H159" t="s">
        <v>708</v>
      </c>
      <c r="I159" t="s">
        <v>709</v>
      </c>
      <c r="J159" t="s">
        <v>716</v>
      </c>
      <c r="K159" t="str">
        <f t="shared" si="32"/>
        <v>9284725703</v>
      </c>
      <c r="L159" t="str">
        <f>""</f>
        <v/>
      </c>
      <c r="M159" t="str">
        <f>"9284722013"</f>
        <v>9284722013</v>
      </c>
      <c r="N159" t="str">
        <f>""</f>
        <v/>
      </c>
      <c r="O159" t="s">
        <v>711</v>
      </c>
      <c r="P159" t="s">
        <v>717</v>
      </c>
      <c r="R159" t="s">
        <v>713</v>
      </c>
      <c r="S159" t="s">
        <v>36</v>
      </c>
      <c r="T159" t="str">
        <f t="shared" si="33"/>
        <v>85547</v>
      </c>
      <c r="U159" t="str">
        <f>""</f>
        <v/>
      </c>
      <c r="V159" t="s">
        <v>718</v>
      </c>
      <c r="X159" t="s">
        <v>713</v>
      </c>
      <c r="Y159" t="s">
        <v>36</v>
      </c>
      <c r="Z159" t="str">
        <f t="shared" si="34"/>
        <v>85541</v>
      </c>
      <c r="AA159" t="str">
        <f>""</f>
        <v/>
      </c>
      <c r="AB159" t="s">
        <v>465</v>
      </c>
    </row>
    <row r="160" spans="1:28" x14ac:dyDescent="0.25">
      <c r="A160">
        <v>4209</v>
      </c>
      <c r="B160" t="str">
        <f t="shared" si="31"/>
        <v>040210000</v>
      </c>
      <c r="C160" t="s">
        <v>707</v>
      </c>
      <c r="D160">
        <v>4857</v>
      </c>
      <c r="E160" t="str">
        <f>"040210103"</f>
        <v>040210103</v>
      </c>
      <c r="F160" t="s">
        <v>719</v>
      </c>
      <c r="G160" t="s">
        <v>42</v>
      </c>
      <c r="H160" t="s">
        <v>708</v>
      </c>
      <c r="I160" t="s">
        <v>709</v>
      </c>
      <c r="J160" t="s">
        <v>716</v>
      </c>
      <c r="K160" t="str">
        <f t="shared" si="32"/>
        <v>9284725703</v>
      </c>
      <c r="L160" t="str">
        <f>""</f>
        <v/>
      </c>
      <c r="M160" t="str">
        <f>""</f>
        <v/>
      </c>
      <c r="N160" t="str">
        <f>""</f>
        <v/>
      </c>
      <c r="O160" t="s">
        <v>711</v>
      </c>
      <c r="P160" t="s">
        <v>717</v>
      </c>
      <c r="R160" t="s">
        <v>713</v>
      </c>
      <c r="S160" t="s">
        <v>36</v>
      </c>
      <c r="T160" t="str">
        <f t="shared" si="33"/>
        <v>85547</v>
      </c>
      <c r="U160" t="str">
        <f>""</f>
        <v/>
      </c>
      <c r="V160" t="s">
        <v>720</v>
      </c>
      <c r="X160" t="s">
        <v>713</v>
      </c>
      <c r="Y160" t="s">
        <v>36</v>
      </c>
      <c r="Z160" t="str">
        <f t="shared" si="34"/>
        <v>85541</v>
      </c>
      <c r="AA160" t="str">
        <f>""</f>
        <v/>
      </c>
      <c r="AB160" t="s">
        <v>465</v>
      </c>
    </row>
    <row r="161" spans="1:28" x14ac:dyDescent="0.25">
      <c r="A161">
        <v>4209</v>
      </c>
      <c r="B161" t="str">
        <f t="shared" si="31"/>
        <v>040210000</v>
      </c>
      <c r="C161" t="s">
        <v>707</v>
      </c>
      <c r="D161">
        <v>4858</v>
      </c>
      <c r="E161" t="str">
        <f>"040210104"</f>
        <v>040210104</v>
      </c>
      <c r="F161" t="s">
        <v>721</v>
      </c>
      <c r="G161" t="s">
        <v>42</v>
      </c>
      <c r="H161" t="s">
        <v>708</v>
      </c>
      <c r="I161" t="s">
        <v>709</v>
      </c>
      <c r="J161" t="s">
        <v>716</v>
      </c>
      <c r="K161" t="str">
        <f t="shared" si="32"/>
        <v>9284725703</v>
      </c>
      <c r="L161" t="str">
        <f>""</f>
        <v/>
      </c>
      <c r="M161" t="str">
        <f>""</f>
        <v/>
      </c>
      <c r="N161" t="str">
        <f>""</f>
        <v/>
      </c>
      <c r="O161" t="s">
        <v>711</v>
      </c>
      <c r="P161" t="s">
        <v>717</v>
      </c>
      <c r="R161" t="s">
        <v>713</v>
      </c>
      <c r="S161" t="s">
        <v>36</v>
      </c>
      <c r="T161" t="str">
        <f t="shared" si="33"/>
        <v>85547</v>
      </c>
      <c r="U161" t="str">
        <f>""</f>
        <v/>
      </c>
      <c r="V161" t="s">
        <v>722</v>
      </c>
      <c r="X161" t="s">
        <v>713</v>
      </c>
      <c r="Y161" t="s">
        <v>36</v>
      </c>
      <c r="Z161" t="str">
        <f t="shared" si="34"/>
        <v>85541</v>
      </c>
      <c r="AA161" t="str">
        <f>""</f>
        <v/>
      </c>
      <c r="AB161" t="s">
        <v>465</v>
      </c>
    </row>
    <row r="162" spans="1:28" x14ac:dyDescent="0.25">
      <c r="A162">
        <v>4209</v>
      </c>
      <c r="B162" t="str">
        <f t="shared" si="31"/>
        <v>040210000</v>
      </c>
      <c r="C162" t="s">
        <v>707</v>
      </c>
      <c r="D162">
        <v>4860</v>
      </c>
      <c r="E162" t="str">
        <f>"040210201"</f>
        <v>040210201</v>
      </c>
      <c r="F162" t="s">
        <v>723</v>
      </c>
      <c r="G162" t="s">
        <v>42</v>
      </c>
      <c r="H162" t="s">
        <v>708</v>
      </c>
      <c r="I162" t="s">
        <v>709</v>
      </c>
      <c r="J162" t="s">
        <v>716</v>
      </c>
      <c r="K162" t="str">
        <f t="shared" si="32"/>
        <v>9284725703</v>
      </c>
      <c r="L162" t="str">
        <f>""</f>
        <v/>
      </c>
      <c r="M162" t="str">
        <f>"9284722013"</f>
        <v>9284722013</v>
      </c>
      <c r="N162" t="str">
        <f>""</f>
        <v/>
      </c>
      <c r="O162" t="s">
        <v>711</v>
      </c>
      <c r="P162" t="s">
        <v>717</v>
      </c>
      <c r="R162" t="s">
        <v>713</v>
      </c>
      <c r="S162" t="s">
        <v>36</v>
      </c>
      <c r="T162" t="str">
        <f t="shared" si="33"/>
        <v>85547</v>
      </c>
      <c r="U162" t="str">
        <f>""</f>
        <v/>
      </c>
      <c r="V162" t="s">
        <v>724</v>
      </c>
      <c r="X162" t="s">
        <v>713</v>
      </c>
      <c r="Y162" t="s">
        <v>36</v>
      </c>
      <c r="Z162" t="str">
        <f t="shared" si="34"/>
        <v>85541</v>
      </c>
      <c r="AA162" t="str">
        <f>""</f>
        <v/>
      </c>
      <c r="AB162" t="s">
        <v>465</v>
      </c>
    </row>
    <row r="163" spans="1:28" x14ac:dyDescent="0.25">
      <c r="A163">
        <v>4209</v>
      </c>
      <c r="B163" t="str">
        <f t="shared" si="31"/>
        <v>040210000</v>
      </c>
      <c r="C163" t="s">
        <v>707</v>
      </c>
      <c r="D163">
        <v>10822</v>
      </c>
      <c r="E163" t="str">
        <f>"040210202"</f>
        <v>040210202</v>
      </c>
      <c r="F163" t="s">
        <v>725</v>
      </c>
      <c r="G163" t="s">
        <v>42</v>
      </c>
      <c r="H163" t="s">
        <v>708</v>
      </c>
      <c r="I163" t="s">
        <v>709</v>
      </c>
      <c r="J163" t="s">
        <v>716</v>
      </c>
      <c r="K163" t="str">
        <f t="shared" si="32"/>
        <v>9284725703</v>
      </c>
      <c r="L163" t="str">
        <f>""</f>
        <v/>
      </c>
      <c r="M163" t="str">
        <f>""</f>
        <v/>
      </c>
      <c r="N163" t="str">
        <f>""</f>
        <v/>
      </c>
      <c r="O163" t="s">
        <v>711</v>
      </c>
      <c r="P163" t="s">
        <v>717</v>
      </c>
      <c r="R163" t="s">
        <v>713</v>
      </c>
      <c r="S163" t="s">
        <v>36</v>
      </c>
      <c r="T163" t="str">
        <f t="shared" si="33"/>
        <v>85547</v>
      </c>
      <c r="U163" t="str">
        <f>""</f>
        <v/>
      </c>
      <c r="V163" t="s">
        <v>726</v>
      </c>
      <c r="X163" t="s">
        <v>713</v>
      </c>
      <c r="Y163" t="s">
        <v>36</v>
      </c>
      <c r="Z163" t="str">
        <f t="shared" si="34"/>
        <v>85541</v>
      </c>
      <c r="AA163" t="str">
        <f>""</f>
        <v/>
      </c>
      <c r="AB163" t="s">
        <v>465</v>
      </c>
    </row>
    <row r="164" spans="1:28" x14ac:dyDescent="0.25">
      <c r="A164">
        <v>4210</v>
      </c>
      <c r="B164" t="str">
        <f>"040220000"</f>
        <v>040220000</v>
      </c>
      <c r="C164" t="s">
        <v>727</v>
      </c>
      <c r="D164">
        <v>0</v>
      </c>
      <c r="E164" t="str">
        <f>""</f>
        <v/>
      </c>
      <c r="G164" t="s">
        <v>29</v>
      </c>
      <c r="H164" t="s">
        <v>728</v>
      </c>
      <c r="I164" t="s">
        <v>729</v>
      </c>
      <c r="J164" t="s">
        <v>730</v>
      </c>
      <c r="K164" t="str">
        <f>"9284752315"</f>
        <v>9284752315</v>
      </c>
      <c r="L164" t="str">
        <f>"11405"</f>
        <v>11405</v>
      </c>
      <c r="M164" t="str">
        <f>"9284752301"</f>
        <v>9284752301</v>
      </c>
      <c r="N164" t="str">
        <f>""</f>
        <v/>
      </c>
      <c r="O164" t="s">
        <v>731</v>
      </c>
      <c r="P164" t="s">
        <v>732</v>
      </c>
      <c r="R164" t="s">
        <v>733</v>
      </c>
      <c r="S164" t="s">
        <v>36</v>
      </c>
      <c r="T164" t="str">
        <f>"85550"</f>
        <v>85550</v>
      </c>
      <c r="U164" t="str">
        <f>""</f>
        <v/>
      </c>
      <c r="V164" t="s">
        <v>734</v>
      </c>
      <c r="X164" t="s">
        <v>733</v>
      </c>
      <c r="Y164" t="s">
        <v>36</v>
      </c>
      <c r="Z164" t="str">
        <f>"85550"</f>
        <v>85550</v>
      </c>
      <c r="AA164" t="str">
        <f>""</f>
        <v/>
      </c>
      <c r="AB164" t="s">
        <v>217</v>
      </c>
    </row>
    <row r="165" spans="1:28" x14ac:dyDescent="0.25">
      <c r="A165">
        <v>4210</v>
      </c>
      <c r="B165" t="str">
        <f>"040220000"</f>
        <v>040220000</v>
      </c>
      <c r="C165" t="s">
        <v>727</v>
      </c>
      <c r="D165">
        <v>4863</v>
      </c>
      <c r="E165" t="str">
        <f>"040220103"</f>
        <v>040220103</v>
      </c>
      <c r="F165" t="s">
        <v>735</v>
      </c>
      <c r="G165" t="s">
        <v>42</v>
      </c>
      <c r="H165" t="s">
        <v>736</v>
      </c>
      <c r="I165" t="s">
        <v>737</v>
      </c>
      <c r="J165" t="s">
        <v>481</v>
      </c>
      <c r="K165" t="str">
        <f>"9284752315"</f>
        <v>9284752315</v>
      </c>
      <c r="L165" t="str">
        <f>"14999"</f>
        <v>14999</v>
      </c>
      <c r="M165" t="str">
        <f>"9284752301"</f>
        <v>9284752301</v>
      </c>
      <c r="N165" t="str">
        <f>""</f>
        <v/>
      </c>
      <c r="O165" t="s">
        <v>738</v>
      </c>
      <c r="P165" t="s">
        <v>739</v>
      </c>
      <c r="R165" t="s">
        <v>733</v>
      </c>
      <c r="S165" t="s">
        <v>36</v>
      </c>
      <c r="T165" t="str">
        <f>"85550"</f>
        <v>85550</v>
      </c>
      <c r="U165" t="str">
        <f>""</f>
        <v/>
      </c>
      <c r="V165" t="s">
        <v>734</v>
      </c>
      <c r="X165" t="s">
        <v>733</v>
      </c>
      <c r="Y165" t="s">
        <v>36</v>
      </c>
      <c r="Z165" t="str">
        <f>"85550"</f>
        <v>85550</v>
      </c>
      <c r="AA165" t="str">
        <f>""</f>
        <v/>
      </c>
      <c r="AB165" t="s">
        <v>217</v>
      </c>
    </row>
    <row r="166" spans="1:28" x14ac:dyDescent="0.25">
      <c r="A166">
        <v>4210</v>
      </c>
      <c r="B166" t="str">
        <f>"040220000"</f>
        <v>040220000</v>
      </c>
      <c r="C166" t="s">
        <v>727</v>
      </c>
      <c r="D166">
        <v>4864</v>
      </c>
      <c r="E166" t="str">
        <f>"040220202"</f>
        <v>040220202</v>
      </c>
      <c r="F166" t="s">
        <v>740</v>
      </c>
      <c r="G166" t="s">
        <v>42</v>
      </c>
      <c r="H166" t="s">
        <v>741</v>
      </c>
      <c r="I166" t="s">
        <v>742</v>
      </c>
      <c r="J166" t="s">
        <v>315</v>
      </c>
      <c r="K166" t="str">
        <f>"9284752378"</f>
        <v>9284752378</v>
      </c>
      <c r="L166" t="str">
        <f>"15999"</f>
        <v>15999</v>
      </c>
      <c r="M166" t="str">
        <f>"9284752301"</f>
        <v>9284752301</v>
      </c>
      <c r="N166" t="str">
        <f>""</f>
        <v/>
      </c>
      <c r="O166" t="s">
        <v>743</v>
      </c>
      <c r="P166" t="s">
        <v>744</v>
      </c>
      <c r="R166" t="s">
        <v>733</v>
      </c>
      <c r="S166" t="s">
        <v>36</v>
      </c>
      <c r="T166" t="str">
        <f>"85550"</f>
        <v>85550</v>
      </c>
      <c r="U166" t="str">
        <f>""</f>
        <v/>
      </c>
      <c r="V166" t="s">
        <v>745</v>
      </c>
      <c r="X166" t="s">
        <v>733</v>
      </c>
      <c r="Y166" t="s">
        <v>36</v>
      </c>
      <c r="Z166" t="str">
        <f>"85550"</f>
        <v>85550</v>
      </c>
      <c r="AA166" t="str">
        <f>""</f>
        <v/>
      </c>
      <c r="AB166" t="s">
        <v>217</v>
      </c>
    </row>
    <row r="167" spans="1:28" x14ac:dyDescent="0.25">
      <c r="A167">
        <v>4210</v>
      </c>
      <c r="B167" t="str">
        <f>"040220000"</f>
        <v>040220000</v>
      </c>
      <c r="C167" t="s">
        <v>727</v>
      </c>
      <c r="D167">
        <v>5989</v>
      </c>
      <c r="E167" t="str">
        <f>"040220104"</f>
        <v>040220104</v>
      </c>
      <c r="F167" t="s">
        <v>746</v>
      </c>
      <c r="G167" t="s">
        <v>42</v>
      </c>
      <c r="H167" t="s">
        <v>736</v>
      </c>
      <c r="I167" t="s">
        <v>737</v>
      </c>
      <c r="J167" t="s">
        <v>481</v>
      </c>
      <c r="K167" t="str">
        <f>"9284752315"</f>
        <v>9284752315</v>
      </c>
      <c r="L167" t="str">
        <f>"14999"</f>
        <v>14999</v>
      </c>
      <c r="M167" t="str">
        <f>"9284752301"</f>
        <v>9284752301</v>
      </c>
      <c r="N167" t="str">
        <f>""</f>
        <v/>
      </c>
      <c r="O167" t="s">
        <v>747</v>
      </c>
      <c r="P167" t="s">
        <v>732</v>
      </c>
      <c r="R167" t="s">
        <v>733</v>
      </c>
      <c r="S167" t="s">
        <v>36</v>
      </c>
      <c r="T167" t="str">
        <f>"85550"</f>
        <v>85550</v>
      </c>
      <c r="U167" t="str">
        <f>""</f>
        <v/>
      </c>
      <c r="V167" t="s">
        <v>734</v>
      </c>
      <c r="X167" t="s">
        <v>733</v>
      </c>
      <c r="Y167" t="s">
        <v>36</v>
      </c>
      <c r="Z167" t="str">
        <f>"85550"</f>
        <v>85550</v>
      </c>
      <c r="AA167" t="str">
        <f>""</f>
        <v/>
      </c>
      <c r="AB167" t="s">
        <v>217</v>
      </c>
    </row>
    <row r="168" spans="1:28" x14ac:dyDescent="0.25">
      <c r="A168">
        <v>4210</v>
      </c>
      <c r="B168" t="str">
        <f>"040220000"</f>
        <v>040220000</v>
      </c>
      <c r="C168" t="s">
        <v>727</v>
      </c>
      <c r="D168">
        <v>89776</v>
      </c>
      <c r="E168" t="str">
        <f>"040220203"</f>
        <v>040220203</v>
      </c>
      <c r="F168" t="s">
        <v>748</v>
      </c>
      <c r="G168" t="s">
        <v>42</v>
      </c>
      <c r="H168" t="s">
        <v>741</v>
      </c>
      <c r="I168" t="s">
        <v>742</v>
      </c>
      <c r="J168" t="s">
        <v>315</v>
      </c>
      <c r="K168" t="str">
        <f>"9284752378"</f>
        <v>9284752378</v>
      </c>
      <c r="L168" t="str">
        <f>"15999"</f>
        <v>15999</v>
      </c>
      <c r="M168" t="str">
        <f>"9284752301"</f>
        <v>9284752301</v>
      </c>
      <c r="N168" t="str">
        <f>""</f>
        <v/>
      </c>
      <c r="O168" t="s">
        <v>743</v>
      </c>
      <c r="P168" t="s">
        <v>749</v>
      </c>
      <c r="R168" t="s">
        <v>733</v>
      </c>
      <c r="S168" t="s">
        <v>36</v>
      </c>
      <c r="T168" t="str">
        <f>"85550"</f>
        <v>85550</v>
      </c>
      <c r="U168" t="str">
        <f>""</f>
        <v/>
      </c>
      <c r="V168" t="s">
        <v>750</v>
      </c>
      <c r="X168" t="s">
        <v>733</v>
      </c>
      <c r="Y168" t="s">
        <v>36</v>
      </c>
      <c r="Z168" t="str">
        <f>"85550"</f>
        <v>85550</v>
      </c>
      <c r="AA168" t="str">
        <f>""</f>
        <v/>
      </c>
      <c r="AB168" t="s">
        <v>217</v>
      </c>
    </row>
    <row r="169" spans="1:28" x14ac:dyDescent="0.25">
      <c r="A169">
        <v>4211</v>
      </c>
      <c r="B169" t="str">
        <f>"040240000"</f>
        <v>040240000</v>
      </c>
      <c r="C169" t="s">
        <v>751</v>
      </c>
      <c r="D169">
        <v>0</v>
      </c>
      <c r="E169" t="str">
        <f>""</f>
        <v/>
      </c>
      <c r="G169" t="s">
        <v>29</v>
      </c>
      <c r="H169" t="s">
        <v>752</v>
      </c>
      <c r="I169" t="s">
        <v>753</v>
      </c>
      <c r="J169" t="s">
        <v>134</v>
      </c>
      <c r="K169" t="str">
        <f>"9284253271"</f>
        <v>9284253271</v>
      </c>
      <c r="L169" t="str">
        <f>"1104"</f>
        <v>1104</v>
      </c>
      <c r="M169" t="str">
        <f>"9284257419"</f>
        <v>9284257419</v>
      </c>
      <c r="N169" t="str">
        <f>""</f>
        <v/>
      </c>
      <c r="O169" t="s">
        <v>754</v>
      </c>
      <c r="P169" t="s">
        <v>755</v>
      </c>
      <c r="R169" t="s">
        <v>756</v>
      </c>
      <c r="S169" t="s">
        <v>36</v>
      </c>
      <c r="T169" t="str">
        <f>"85539"</f>
        <v>85539</v>
      </c>
      <c r="U169" t="str">
        <f>"0951"</f>
        <v>0951</v>
      </c>
      <c r="V169" t="s">
        <v>757</v>
      </c>
      <c r="X169" t="s">
        <v>756</v>
      </c>
      <c r="Y169" t="s">
        <v>36</v>
      </c>
      <c r="Z169" t="str">
        <f>"85539"</f>
        <v>85539</v>
      </c>
      <c r="AA169" t="str">
        <f>""</f>
        <v/>
      </c>
      <c r="AB169" t="s">
        <v>265</v>
      </c>
    </row>
    <row r="170" spans="1:28" x14ac:dyDescent="0.25">
      <c r="A170">
        <v>4211</v>
      </c>
      <c r="B170" t="str">
        <f>"040240000"</f>
        <v>040240000</v>
      </c>
      <c r="C170" t="s">
        <v>751</v>
      </c>
      <c r="D170">
        <v>4868</v>
      </c>
      <c r="E170" t="str">
        <f>"040240105"</f>
        <v>040240105</v>
      </c>
      <c r="F170" t="s">
        <v>758</v>
      </c>
      <c r="G170" t="s">
        <v>42</v>
      </c>
      <c r="H170" t="s">
        <v>759</v>
      </c>
      <c r="I170" t="s">
        <v>760</v>
      </c>
      <c r="J170" t="s">
        <v>761</v>
      </c>
      <c r="K170" t="str">
        <f>"9284253271"</f>
        <v>9284253271</v>
      </c>
      <c r="L170" t="str">
        <f>"1108"</f>
        <v>1108</v>
      </c>
      <c r="M170" t="str">
        <f>"9284257419"</f>
        <v>9284257419</v>
      </c>
      <c r="N170" t="str">
        <f>""</f>
        <v/>
      </c>
      <c r="O170" t="s">
        <v>762</v>
      </c>
      <c r="P170" t="s">
        <v>755</v>
      </c>
      <c r="R170" t="s">
        <v>756</v>
      </c>
      <c r="S170" t="s">
        <v>36</v>
      </c>
      <c r="T170" t="str">
        <f>"85539"</f>
        <v>85539</v>
      </c>
      <c r="U170" t="str">
        <f>"0951"</f>
        <v>0951</v>
      </c>
      <c r="V170" t="s">
        <v>763</v>
      </c>
      <c r="W170" t="s">
        <v>758</v>
      </c>
      <c r="X170" t="s">
        <v>756</v>
      </c>
      <c r="Y170" t="s">
        <v>36</v>
      </c>
      <c r="Z170" t="str">
        <f>"85539"</f>
        <v>85539</v>
      </c>
      <c r="AA170" t="str">
        <f>""</f>
        <v/>
      </c>
      <c r="AB170" t="s">
        <v>265</v>
      </c>
    </row>
    <row r="171" spans="1:28" x14ac:dyDescent="0.25">
      <c r="A171">
        <v>4211</v>
      </c>
      <c r="B171" t="str">
        <f>"040240000"</f>
        <v>040240000</v>
      </c>
      <c r="C171" t="s">
        <v>751</v>
      </c>
      <c r="D171">
        <v>4869</v>
      </c>
      <c r="E171" t="str">
        <f>"040240206"</f>
        <v>040240206</v>
      </c>
      <c r="F171" t="s">
        <v>764</v>
      </c>
      <c r="G171" t="s">
        <v>42</v>
      </c>
      <c r="H171" t="s">
        <v>759</v>
      </c>
      <c r="I171" t="s">
        <v>760</v>
      </c>
      <c r="J171" t="s">
        <v>761</v>
      </c>
      <c r="K171" t="str">
        <f>"9284253271"</f>
        <v>9284253271</v>
      </c>
      <c r="L171" t="str">
        <f>"1108"</f>
        <v>1108</v>
      </c>
      <c r="M171" t="str">
        <f>"9284257419"</f>
        <v>9284257419</v>
      </c>
      <c r="N171" t="str">
        <f>""</f>
        <v/>
      </c>
      <c r="O171" t="s">
        <v>765</v>
      </c>
      <c r="P171" t="s">
        <v>755</v>
      </c>
      <c r="R171" t="s">
        <v>756</v>
      </c>
      <c r="S171" t="s">
        <v>36</v>
      </c>
      <c r="T171" t="str">
        <f>"85539"</f>
        <v>85539</v>
      </c>
      <c r="U171" t="str">
        <f>""</f>
        <v/>
      </c>
      <c r="V171" t="s">
        <v>766</v>
      </c>
      <c r="X171" t="s">
        <v>756</v>
      </c>
      <c r="Y171" t="s">
        <v>36</v>
      </c>
      <c r="Z171" t="str">
        <f>"85539"</f>
        <v>85539</v>
      </c>
      <c r="AA171" t="str">
        <f>""</f>
        <v/>
      </c>
      <c r="AB171" t="s">
        <v>265</v>
      </c>
    </row>
    <row r="172" spans="1:28" x14ac:dyDescent="0.25">
      <c r="A172">
        <v>4211</v>
      </c>
      <c r="B172" t="str">
        <f>"040240000"</f>
        <v>040240000</v>
      </c>
      <c r="C172" t="s">
        <v>751</v>
      </c>
      <c r="D172">
        <v>81122</v>
      </c>
      <c r="E172" t="str">
        <f>"040240108"</f>
        <v>040240108</v>
      </c>
      <c r="F172" t="s">
        <v>767</v>
      </c>
      <c r="G172" t="s">
        <v>42</v>
      </c>
      <c r="H172" t="s">
        <v>759</v>
      </c>
      <c r="I172" t="s">
        <v>760</v>
      </c>
      <c r="J172" t="s">
        <v>761</v>
      </c>
      <c r="K172" t="str">
        <f>"9284253271"</f>
        <v>9284253271</v>
      </c>
      <c r="L172" t="str">
        <f>"1108"</f>
        <v>1108</v>
      </c>
      <c r="M172" t="str">
        <f>"9284257419"</f>
        <v>9284257419</v>
      </c>
      <c r="N172" t="str">
        <f>""</f>
        <v/>
      </c>
      <c r="O172" t="s">
        <v>762</v>
      </c>
      <c r="P172" t="s">
        <v>755</v>
      </c>
      <c r="R172" t="s">
        <v>768</v>
      </c>
      <c r="S172" t="s">
        <v>36</v>
      </c>
      <c r="T172" t="str">
        <f>"85539"</f>
        <v>85539</v>
      </c>
      <c r="U172" t="str">
        <f>"0951"</f>
        <v>0951</v>
      </c>
      <c r="V172" t="s">
        <v>769</v>
      </c>
      <c r="X172" t="s">
        <v>768</v>
      </c>
      <c r="Y172" t="s">
        <v>36</v>
      </c>
      <c r="Z172" t="str">
        <f>"85539"</f>
        <v>85539</v>
      </c>
      <c r="AA172" t="str">
        <f>""</f>
        <v/>
      </c>
      <c r="AB172" t="s">
        <v>265</v>
      </c>
    </row>
    <row r="173" spans="1:28" x14ac:dyDescent="0.25">
      <c r="A173">
        <v>4212</v>
      </c>
      <c r="B173" t="str">
        <f>"040241000"</f>
        <v>040241000</v>
      </c>
      <c r="C173" t="s">
        <v>770</v>
      </c>
      <c r="D173">
        <v>0</v>
      </c>
      <c r="E173" t="str">
        <f>""</f>
        <v/>
      </c>
      <c r="G173" t="s">
        <v>29</v>
      </c>
      <c r="H173" t="s">
        <v>601</v>
      </c>
      <c r="I173" t="s">
        <v>771</v>
      </c>
      <c r="J173" t="s">
        <v>32</v>
      </c>
      <c r="K173" t="str">
        <f>"5203567876"</f>
        <v>5203567876</v>
      </c>
      <c r="L173" t="str">
        <f>"2602"</f>
        <v>2602</v>
      </c>
      <c r="M173" t="str">
        <f>"5203567303"</f>
        <v>5203567303</v>
      </c>
      <c r="N173" t="str">
        <f>""</f>
        <v/>
      </c>
      <c r="O173" t="s">
        <v>772</v>
      </c>
      <c r="P173" t="s">
        <v>773</v>
      </c>
      <c r="R173" t="s">
        <v>774</v>
      </c>
      <c r="S173" t="s">
        <v>36</v>
      </c>
      <c r="T173" t="str">
        <f>"85192"</f>
        <v>85192</v>
      </c>
      <c r="U173" t="str">
        <f>"0409"</f>
        <v>0409</v>
      </c>
      <c r="V173" t="s">
        <v>775</v>
      </c>
      <c r="X173" t="s">
        <v>774</v>
      </c>
      <c r="Y173" t="s">
        <v>36</v>
      </c>
      <c r="Z173" t="str">
        <f>"85192"</f>
        <v>85192</v>
      </c>
      <c r="AA173" t="str">
        <f>"0409"</f>
        <v>0409</v>
      </c>
      <c r="AB173" t="s">
        <v>282</v>
      </c>
    </row>
    <row r="174" spans="1:28" x14ac:dyDescent="0.25">
      <c r="A174">
        <v>4212</v>
      </c>
      <c r="B174" t="str">
        <f>"040241000"</f>
        <v>040241000</v>
      </c>
      <c r="C174" t="s">
        <v>770</v>
      </c>
      <c r="D174">
        <v>4870</v>
      </c>
      <c r="E174" t="str">
        <f>"040241001"</f>
        <v>040241001</v>
      </c>
      <c r="F174" t="s">
        <v>776</v>
      </c>
      <c r="G174" t="s">
        <v>42</v>
      </c>
      <c r="H174" t="s">
        <v>777</v>
      </c>
      <c r="I174" t="s">
        <v>394</v>
      </c>
      <c r="J174" t="s">
        <v>134</v>
      </c>
      <c r="K174" t="str">
        <f>"5203567876"</f>
        <v>5203567876</v>
      </c>
      <c r="L174" t="str">
        <f>"1004"</f>
        <v>1004</v>
      </c>
      <c r="M174" t="str">
        <f>"5203567303"</f>
        <v>5203567303</v>
      </c>
      <c r="N174" t="str">
        <f>""</f>
        <v/>
      </c>
      <c r="O174" t="s">
        <v>778</v>
      </c>
      <c r="P174" t="s">
        <v>773</v>
      </c>
      <c r="R174" t="s">
        <v>774</v>
      </c>
      <c r="S174" t="s">
        <v>36</v>
      </c>
      <c r="T174" t="str">
        <f>"85192"</f>
        <v>85192</v>
      </c>
      <c r="U174" t="str">
        <f>"0409"</f>
        <v>0409</v>
      </c>
      <c r="V174" t="s">
        <v>775</v>
      </c>
      <c r="X174" t="s">
        <v>774</v>
      </c>
      <c r="Y174" t="s">
        <v>36</v>
      </c>
      <c r="Z174" t="str">
        <f>"85192"</f>
        <v>85192</v>
      </c>
      <c r="AA174" t="str">
        <f>"0409"</f>
        <v>0409</v>
      </c>
      <c r="AB174" t="s">
        <v>282</v>
      </c>
    </row>
    <row r="175" spans="1:28" x14ac:dyDescent="0.25">
      <c r="A175">
        <v>4213</v>
      </c>
      <c r="B175" t="str">
        <f>"040305000"</f>
        <v>040305000</v>
      </c>
      <c r="C175" t="s">
        <v>779</v>
      </c>
      <c r="D175">
        <v>0</v>
      </c>
      <c r="E175" t="str">
        <f>""</f>
        <v/>
      </c>
      <c r="G175" t="s">
        <v>29</v>
      </c>
      <c r="H175" t="s">
        <v>780</v>
      </c>
      <c r="I175" t="s">
        <v>781</v>
      </c>
      <c r="J175" t="s">
        <v>782</v>
      </c>
      <c r="K175" t="str">
        <f>"9284623244"</f>
        <v>9284623244</v>
      </c>
      <c r="L175" t="str">
        <f>"1019"</f>
        <v>1019</v>
      </c>
      <c r="M175" t="str">
        <f>""</f>
        <v/>
      </c>
      <c r="N175" t="str">
        <f>""</f>
        <v/>
      </c>
      <c r="O175" t="s">
        <v>783</v>
      </c>
      <c r="P175" t="s">
        <v>784</v>
      </c>
      <c r="R175" t="s">
        <v>785</v>
      </c>
      <c r="S175" t="s">
        <v>36</v>
      </c>
      <c r="T175" t="str">
        <f>"85554"</f>
        <v>85554</v>
      </c>
      <c r="U175" t="str">
        <f>"0390"</f>
        <v>0390</v>
      </c>
      <c r="V175" t="s">
        <v>786</v>
      </c>
      <c r="X175" t="s">
        <v>785</v>
      </c>
      <c r="Y175" t="s">
        <v>36</v>
      </c>
      <c r="Z175" t="str">
        <f>"85554"</f>
        <v>85554</v>
      </c>
      <c r="AA175" t="str">
        <f>"0390"</f>
        <v>0390</v>
      </c>
      <c r="AB175" t="s">
        <v>508</v>
      </c>
    </row>
    <row r="176" spans="1:28" x14ac:dyDescent="0.25">
      <c r="A176">
        <v>4213</v>
      </c>
      <c r="B176" t="str">
        <f>"040305000"</f>
        <v>040305000</v>
      </c>
      <c r="C176" t="s">
        <v>779</v>
      </c>
      <c r="D176">
        <v>4874</v>
      </c>
      <c r="E176" t="str">
        <f>"040305001"</f>
        <v>040305001</v>
      </c>
      <c r="F176" t="s">
        <v>787</v>
      </c>
      <c r="G176" t="s">
        <v>42</v>
      </c>
      <c r="H176" t="s">
        <v>788</v>
      </c>
      <c r="I176" t="s">
        <v>789</v>
      </c>
      <c r="J176" t="s">
        <v>782</v>
      </c>
      <c r="K176" t="str">
        <f>"9284623244"</f>
        <v>9284623244</v>
      </c>
      <c r="L176" t="str">
        <f>"1019"</f>
        <v>1019</v>
      </c>
      <c r="M176" t="str">
        <f>"9284623283"</f>
        <v>9284623283</v>
      </c>
      <c r="N176" t="str">
        <f>""</f>
        <v/>
      </c>
      <c r="O176" t="s">
        <v>783</v>
      </c>
      <c r="P176" t="s">
        <v>790</v>
      </c>
      <c r="R176" t="s">
        <v>785</v>
      </c>
      <c r="S176" t="s">
        <v>36</v>
      </c>
      <c r="T176" t="str">
        <f>"85554"</f>
        <v>85554</v>
      </c>
      <c r="U176" t="str">
        <f>"0390"</f>
        <v>0390</v>
      </c>
      <c r="V176" t="s">
        <v>791</v>
      </c>
      <c r="X176" t="s">
        <v>785</v>
      </c>
      <c r="Y176" t="s">
        <v>36</v>
      </c>
      <c r="Z176" t="str">
        <f>"85554"</f>
        <v>85554</v>
      </c>
      <c r="AA176" t="str">
        <f>"0390"</f>
        <v>0390</v>
      </c>
      <c r="AB176" t="s">
        <v>508</v>
      </c>
    </row>
    <row r="177" spans="1:28" x14ac:dyDescent="0.25">
      <c r="A177">
        <v>4213</v>
      </c>
      <c r="B177" t="str">
        <f>"040305000"</f>
        <v>040305000</v>
      </c>
      <c r="C177" t="s">
        <v>779</v>
      </c>
      <c r="D177">
        <v>4875</v>
      </c>
      <c r="E177" t="str">
        <f>"040305002"</f>
        <v>040305002</v>
      </c>
      <c r="F177" t="s">
        <v>792</v>
      </c>
      <c r="G177" t="s">
        <v>42</v>
      </c>
      <c r="H177" t="s">
        <v>780</v>
      </c>
      <c r="I177" t="s">
        <v>781</v>
      </c>
      <c r="J177" t="s">
        <v>782</v>
      </c>
      <c r="K177" t="str">
        <f>"9284623244"</f>
        <v>9284623244</v>
      </c>
      <c r="L177" t="str">
        <f>"1019"</f>
        <v>1019</v>
      </c>
      <c r="M177" t="str">
        <f>"9284623283"</f>
        <v>9284623283</v>
      </c>
      <c r="N177" t="str">
        <f>""</f>
        <v/>
      </c>
      <c r="O177" t="s">
        <v>783</v>
      </c>
      <c r="P177" t="s">
        <v>790</v>
      </c>
      <c r="R177" t="s">
        <v>785</v>
      </c>
      <c r="S177" t="s">
        <v>36</v>
      </c>
      <c r="T177" t="str">
        <f>"85554"</f>
        <v>85554</v>
      </c>
      <c r="U177" t="str">
        <f>"0390"</f>
        <v>0390</v>
      </c>
      <c r="V177" t="s">
        <v>791</v>
      </c>
      <c r="X177" t="s">
        <v>785</v>
      </c>
      <c r="Y177" t="s">
        <v>36</v>
      </c>
      <c r="Z177" t="str">
        <f>"85554"</f>
        <v>85554</v>
      </c>
      <c r="AA177" t="str">
        <f>"0390"</f>
        <v>0390</v>
      </c>
      <c r="AB177" t="s">
        <v>508</v>
      </c>
    </row>
    <row r="178" spans="1:28" x14ac:dyDescent="0.25">
      <c r="A178">
        <v>4214</v>
      </c>
      <c r="B178" t="str">
        <f>"040312000"</f>
        <v>040312000</v>
      </c>
      <c r="C178" t="s">
        <v>793</v>
      </c>
      <c r="D178">
        <v>0</v>
      </c>
      <c r="E178" t="str">
        <f>""</f>
        <v/>
      </c>
      <c r="G178" t="s">
        <v>29</v>
      </c>
      <c r="H178" t="s">
        <v>794</v>
      </c>
      <c r="I178" t="s">
        <v>795</v>
      </c>
      <c r="J178" t="s">
        <v>796</v>
      </c>
      <c r="K178" t="str">
        <f>"9284763283"</f>
        <v>9284763283</v>
      </c>
      <c r="L178" t="str">
        <f>""</f>
        <v/>
      </c>
      <c r="M178" t="str">
        <f>"9284762506"</f>
        <v>9284762506</v>
      </c>
      <c r="N178" t="str">
        <f>""</f>
        <v/>
      </c>
      <c r="O178" t="s">
        <v>797</v>
      </c>
      <c r="P178" t="s">
        <v>798</v>
      </c>
      <c r="R178" t="s">
        <v>799</v>
      </c>
      <c r="S178" t="s">
        <v>36</v>
      </c>
      <c r="T178" t="str">
        <f>"85544"</f>
        <v>85544</v>
      </c>
      <c r="U178" t="str">
        <f>"1150"</f>
        <v>1150</v>
      </c>
      <c r="V178" t="s">
        <v>800</v>
      </c>
      <c r="X178" t="s">
        <v>799</v>
      </c>
      <c r="Y178" t="s">
        <v>36</v>
      </c>
      <c r="Z178" t="str">
        <f>"85544"</f>
        <v>85544</v>
      </c>
      <c r="AA178" t="str">
        <f>"1150"</f>
        <v>1150</v>
      </c>
      <c r="AB178" t="s">
        <v>632</v>
      </c>
    </row>
    <row r="179" spans="1:28" x14ac:dyDescent="0.25">
      <c r="A179">
        <v>4214</v>
      </c>
      <c r="B179" t="str">
        <f>"040312000"</f>
        <v>040312000</v>
      </c>
      <c r="C179" t="s">
        <v>793</v>
      </c>
      <c r="D179">
        <v>4876</v>
      </c>
      <c r="E179" t="str">
        <f>"040312001"</f>
        <v>040312001</v>
      </c>
      <c r="F179" t="s">
        <v>801</v>
      </c>
      <c r="G179" t="s">
        <v>42</v>
      </c>
      <c r="H179" t="s">
        <v>794</v>
      </c>
      <c r="I179" t="s">
        <v>795</v>
      </c>
      <c r="J179" t="s">
        <v>802</v>
      </c>
      <c r="K179" t="str">
        <f>"9284763283"</f>
        <v>9284763283</v>
      </c>
      <c r="L179" t="str">
        <f>""</f>
        <v/>
      </c>
      <c r="M179" t="str">
        <f>"9284762506"</f>
        <v>9284762506</v>
      </c>
      <c r="N179" t="str">
        <f>""</f>
        <v/>
      </c>
      <c r="O179" t="s">
        <v>797</v>
      </c>
      <c r="P179" t="s">
        <v>798</v>
      </c>
      <c r="R179" t="s">
        <v>799</v>
      </c>
      <c r="S179" t="s">
        <v>36</v>
      </c>
      <c r="T179" t="str">
        <f>"85544"</f>
        <v>85544</v>
      </c>
      <c r="U179" t="str">
        <f>"1150"</f>
        <v>1150</v>
      </c>
      <c r="V179" t="s">
        <v>803</v>
      </c>
      <c r="X179" t="s">
        <v>799</v>
      </c>
      <c r="Y179" t="s">
        <v>36</v>
      </c>
      <c r="Z179" t="str">
        <f>"85544"</f>
        <v>85544</v>
      </c>
      <c r="AA179" t="str">
        <f>"1150"</f>
        <v>1150</v>
      </c>
      <c r="AB179" t="s">
        <v>632</v>
      </c>
    </row>
    <row r="180" spans="1:28" x14ac:dyDescent="0.25">
      <c r="A180">
        <v>4215</v>
      </c>
      <c r="B180" t="str">
        <f>"040333000"</f>
        <v>040333000</v>
      </c>
      <c r="C180" t="s">
        <v>804</v>
      </c>
      <c r="D180">
        <v>0</v>
      </c>
      <c r="E180" t="str">
        <f>""</f>
        <v/>
      </c>
      <c r="G180" t="s">
        <v>29</v>
      </c>
      <c r="H180" t="s">
        <v>805</v>
      </c>
      <c r="I180" t="s">
        <v>806</v>
      </c>
      <c r="J180" t="s">
        <v>807</v>
      </c>
      <c r="K180" t="str">
        <f>"9289700002"</f>
        <v>9289700002</v>
      </c>
      <c r="L180" t="str">
        <f>""</f>
        <v/>
      </c>
      <c r="M180" t="str">
        <f>"9284792649"</f>
        <v>9284792649</v>
      </c>
      <c r="N180" t="str">
        <f>""</f>
        <v/>
      </c>
      <c r="O180" t="s">
        <v>808</v>
      </c>
      <c r="P180" t="s">
        <v>809</v>
      </c>
      <c r="R180" t="s">
        <v>810</v>
      </c>
      <c r="S180" t="s">
        <v>36</v>
      </c>
      <c r="T180" t="str">
        <f>"85553"</f>
        <v>85553</v>
      </c>
      <c r="U180" t="str">
        <f>"0337"</f>
        <v>0337</v>
      </c>
      <c r="V180" t="s">
        <v>811</v>
      </c>
      <c r="X180" t="s">
        <v>810</v>
      </c>
      <c r="Y180" t="s">
        <v>36</v>
      </c>
      <c r="Z180" t="str">
        <f>"85553"</f>
        <v>85553</v>
      </c>
      <c r="AA180" t="str">
        <f>"0337"</f>
        <v>0337</v>
      </c>
      <c r="AB180" t="s">
        <v>156</v>
      </c>
    </row>
    <row r="181" spans="1:28" x14ac:dyDescent="0.25">
      <c r="A181">
        <v>4215</v>
      </c>
      <c r="B181" t="str">
        <f>"040333000"</f>
        <v>040333000</v>
      </c>
      <c r="C181" t="s">
        <v>804</v>
      </c>
      <c r="D181">
        <v>4877</v>
      </c>
      <c r="E181" t="str">
        <f>"040333101"</f>
        <v>040333101</v>
      </c>
      <c r="F181" t="s">
        <v>812</v>
      </c>
      <c r="G181" t="s">
        <v>42</v>
      </c>
      <c r="H181" t="s">
        <v>805</v>
      </c>
      <c r="I181" t="s">
        <v>806</v>
      </c>
      <c r="J181" t="s">
        <v>807</v>
      </c>
      <c r="K181" t="str">
        <f>"9289700002"</f>
        <v>9289700002</v>
      </c>
      <c r="L181" t="str">
        <f>""</f>
        <v/>
      </c>
      <c r="M181" t="str">
        <f>"9284792649"</f>
        <v>9284792649</v>
      </c>
      <c r="N181" t="str">
        <f>""</f>
        <v/>
      </c>
      <c r="O181" t="s">
        <v>808</v>
      </c>
      <c r="P181" t="s">
        <v>813</v>
      </c>
      <c r="R181" t="s">
        <v>810</v>
      </c>
      <c r="S181" t="s">
        <v>36</v>
      </c>
      <c r="T181" t="str">
        <f>"85553"</f>
        <v>85553</v>
      </c>
      <c r="U181" t="str">
        <f>"0337"</f>
        <v>0337</v>
      </c>
      <c r="V181" t="s">
        <v>811</v>
      </c>
      <c r="X181" t="s">
        <v>810</v>
      </c>
      <c r="Y181" t="s">
        <v>36</v>
      </c>
      <c r="Z181" t="str">
        <f>"85553"</f>
        <v>85553</v>
      </c>
      <c r="AA181" t="str">
        <f>"0337"</f>
        <v>0337</v>
      </c>
      <c r="AB181" t="s">
        <v>156</v>
      </c>
    </row>
    <row r="182" spans="1:28" x14ac:dyDescent="0.25">
      <c r="A182">
        <v>4218</v>
      </c>
      <c r="B182" t="str">
        <f t="shared" ref="B182:B188" si="35">"050201000"</f>
        <v>050201000</v>
      </c>
      <c r="C182" t="s">
        <v>814</v>
      </c>
      <c r="D182">
        <v>0</v>
      </c>
      <c r="E182" t="str">
        <f>""</f>
        <v/>
      </c>
      <c r="G182" t="s">
        <v>29</v>
      </c>
      <c r="H182" t="s">
        <v>815</v>
      </c>
      <c r="I182" t="s">
        <v>816</v>
      </c>
      <c r="J182" t="s">
        <v>817</v>
      </c>
      <c r="K182" t="str">
        <f>"9283486985"</f>
        <v>9283486985</v>
      </c>
      <c r="L182" t="str">
        <f>""</f>
        <v/>
      </c>
      <c r="M182" t="str">
        <f t="shared" ref="M182:M188" si="36">"9283487001"</f>
        <v>9283487001</v>
      </c>
      <c r="N182" t="str">
        <f>""</f>
        <v/>
      </c>
      <c r="O182" t="s">
        <v>818</v>
      </c>
      <c r="P182" t="s">
        <v>819</v>
      </c>
      <c r="R182" t="s">
        <v>820</v>
      </c>
      <c r="S182" t="s">
        <v>36</v>
      </c>
      <c r="T182" t="str">
        <f t="shared" ref="T182:T188" si="37">"85546"</f>
        <v>85546</v>
      </c>
      <c r="U182" t="str">
        <f>""</f>
        <v/>
      </c>
      <c r="V182" t="s">
        <v>819</v>
      </c>
      <c r="X182" t="s">
        <v>820</v>
      </c>
      <c r="Y182" t="s">
        <v>36</v>
      </c>
      <c r="Z182" t="str">
        <f t="shared" ref="Z182:Z188" si="38">"85546"</f>
        <v>85546</v>
      </c>
      <c r="AA182" t="str">
        <f>""</f>
        <v/>
      </c>
      <c r="AB182" t="s">
        <v>821</v>
      </c>
    </row>
    <row r="183" spans="1:28" x14ac:dyDescent="0.25">
      <c r="A183">
        <v>4218</v>
      </c>
      <c r="B183" t="str">
        <f t="shared" si="35"/>
        <v>050201000</v>
      </c>
      <c r="C183" t="s">
        <v>814</v>
      </c>
      <c r="D183">
        <v>4881</v>
      </c>
      <c r="E183" t="str">
        <f>"050201100"</f>
        <v>050201100</v>
      </c>
      <c r="F183" t="s">
        <v>822</v>
      </c>
      <c r="G183" t="s">
        <v>42</v>
      </c>
      <c r="H183" t="s">
        <v>823</v>
      </c>
      <c r="I183" t="s">
        <v>824</v>
      </c>
      <c r="J183" t="s">
        <v>825</v>
      </c>
      <c r="K183" t="str">
        <f>"9283487010"</f>
        <v>9283487010</v>
      </c>
      <c r="L183" t="str">
        <f>""</f>
        <v/>
      </c>
      <c r="M183" t="str">
        <f t="shared" si="36"/>
        <v>9283487001</v>
      </c>
      <c r="N183" t="str">
        <f>""</f>
        <v/>
      </c>
      <c r="O183" t="s">
        <v>826</v>
      </c>
      <c r="P183" t="s">
        <v>827</v>
      </c>
      <c r="R183" t="s">
        <v>820</v>
      </c>
      <c r="S183" t="s">
        <v>36</v>
      </c>
      <c r="T183" t="str">
        <f t="shared" si="37"/>
        <v>85546</v>
      </c>
      <c r="U183" t="str">
        <f>""</f>
        <v/>
      </c>
      <c r="V183" t="s">
        <v>827</v>
      </c>
      <c r="X183" t="s">
        <v>820</v>
      </c>
      <c r="Y183" t="s">
        <v>36</v>
      </c>
      <c r="Z183" t="str">
        <f t="shared" si="38"/>
        <v>85546</v>
      </c>
      <c r="AA183" t="str">
        <f>""</f>
        <v/>
      </c>
      <c r="AB183" t="s">
        <v>821</v>
      </c>
    </row>
    <row r="184" spans="1:28" x14ac:dyDescent="0.25">
      <c r="A184">
        <v>4218</v>
      </c>
      <c r="B184" t="str">
        <f t="shared" si="35"/>
        <v>050201000</v>
      </c>
      <c r="C184" t="s">
        <v>814</v>
      </c>
      <c r="D184">
        <v>4882</v>
      </c>
      <c r="E184" t="str">
        <f>"050201101"</f>
        <v>050201101</v>
      </c>
      <c r="F184" t="s">
        <v>828</v>
      </c>
      <c r="G184" t="s">
        <v>42</v>
      </c>
      <c r="H184" t="s">
        <v>829</v>
      </c>
      <c r="I184" t="s">
        <v>830</v>
      </c>
      <c r="J184" t="s">
        <v>825</v>
      </c>
      <c r="K184" t="str">
        <f>"9283487020"</f>
        <v>9283487020</v>
      </c>
      <c r="L184" t="str">
        <f>""</f>
        <v/>
      </c>
      <c r="M184" t="str">
        <f t="shared" si="36"/>
        <v>9283487001</v>
      </c>
      <c r="N184" t="str">
        <f>""</f>
        <v/>
      </c>
      <c r="O184" t="s">
        <v>831</v>
      </c>
      <c r="P184" t="s">
        <v>832</v>
      </c>
      <c r="R184" t="s">
        <v>820</v>
      </c>
      <c r="S184" t="s">
        <v>36</v>
      </c>
      <c r="T184" t="str">
        <f t="shared" si="37"/>
        <v>85546</v>
      </c>
      <c r="U184" t="str">
        <f>""</f>
        <v/>
      </c>
      <c r="V184" t="s">
        <v>832</v>
      </c>
      <c r="X184" t="s">
        <v>820</v>
      </c>
      <c r="Y184" t="s">
        <v>36</v>
      </c>
      <c r="Z184" t="str">
        <f t="shared" si="38"/>
        <v>85546</v>
      </c>
      <c r="AA184" t="str">
        <f>""</f>
        <v/>
      </c>
      <c r="AB184" t="s">
        <v>821</v>
      </c>
    </row>
    <row r="185" spans="1:28" x14ac:dyDescent="0.25">
      <c r="A185">
        <v>4218</v>
      </c>
      <c r="B185" t="str">
        <f t="shared" si="35"/>
        <v>050201000</v>
      </c>
      <c r="C185" t="s">
        <v>814</v>
      </c>
      <c r="D185">
        <v>4883</v>
      </c>
      <c r="E185" t="str">
        <f>"050201102"</f>
        <v>050201102</v>
      </c>
      <c r="F185" t="s">
        <v>833</v>
      </c>
      <c r="G185" t="s">
        <v>42</v>
      </c>
      <c r="H185" t="s">
        <v>834</v>
      </c>
      <c r="I185" t="s">
        <v>835</v>
      </c>
      <c r="J185" t="s">
        <v>825</v>
      </c>
      <c r="K185" t="str">
        <f>"9283487056"</f>
        <v>9283487056</v>
      </c>
      <c r="L185" t="str">
        <f>""</f>
        <v/>
      </c>
      <c r="M185" t="str">
        <f t="shared" si="36"/>
        <v>9283487001</v>
      </c>
      <c r="N185" t="str">
        <f>""</f>
        <v/>
      </c>
      <c r="O185" t="s">
        <v>836</v>
      </c>
      <c r="P185" t="s">
        <v>837</v>
      </c>
      <c r="R185" t="s">
        <v>820</v>
      </c>
      <c r="S185" t="s">
        <v>36</v>
      </c>
      <c r="T185" t="str">
        <f t="shared" si="37"/>
        <v>85546</v>
      </c>
      <c r="U185" t="str">
        <f>""</f>
        <v/>
      </c>
      <c r="V185" t="s">
        <v>838</v>
      </c>
      <c r="X185" t="s">
        <v>820</v>
      </c>
      <c r="Y185" t="s">
        <v>36</v>
      </c>
      <c r="Z185" t="str">
        <f t="shared" si="38"/>
        <v>85546</v>
      </c>
      <c r="AA185" t="str">
        <f>""</f>
        <v/>
      </c>
      <c r="AB185" t="s">
        <v>821</v>
      </c>
    </row>
    <row r="186" spans="1:28" x14ac:dyDescent="0.25">
      <c r="A186">
        <v>4218</v>
      </c>
      <c r="B186" t="str">
        <f t="shared" si="35"/>
        <v>050201000</v>
      </c>
      <c r="C186" t="s">
        <v>814</v>
      </c>
      <c r="D186">
        <v>4884</v>
      </c>
      <c r="E186" t="str">
        <f>"050201200"</f>
        <v>050201200</v>
      </c>
      <c r="F186" t="s">
        <v>839</v>
      </c>
      <c r="G186" t="s">
        <v>42</v>
      </c>
      <c r="H186" t="s">
        <v>840</v>
      </c>
      <c r="I186" t="s">
        <v>841</v>
      </c>
      <c r="J186" t="s">
        <v>825</v>
      </c>
      <c r="K186" t="str">
        <f>"9283487050"</f>
        <v>9283487050</v>
      </c>
      <c r="L186" t="str">
        <f>""</f>
        <v/>
      </c>
      <c r="M186" t="str">
        <f t="shared" si="36"/>
        <v>9283487001</v>
      </c>
      <c r="N186" t="str">
        <f>""</f>
        <v/>
      </c>
      <c r="O186" t="s">
        <v>842</v>
      </c>
      <c r="P186" t="s">
        <v>843</v>
      </c>
      <c r="R186" t="s">
        <v>820</v>
      </c>
      <c r="S186" t="s">
        <v>36</v>
      </c>
      <c r="T186" t="str">
        <f t="shared" si="37"/>
        <v>85546</v>
      </c>
      <c r="U186" t="str">
        <f>""</f>
        <v/>
      </c>
      <c r="V186" t="s">
        <v>843</v>
      </c>
      <c r="X186" t="s">
        <v>820</v>
      </c>
      <c r="Y186" t="s">
        <v>36</v>
      </c>
      <c r="Z186" t="str">
        <f t="shared" si="38"/>
        <v>85546</v>
      </c>
      <c r="AA186" t="str">
        <f>""</f>
        <v/>
      </c>
      <c r="AB186" t="s">
        <v>821</v>
      </c>
    </row>
    <row r="187" spans="1:28" x14ac:dyDescent="0.25">
      <c r="A187">
        <v>4218</v>
      </c>
      <c r="B187" t="str">
        <f t="shared" si="35"/>
        <v>050201000</v>
      </c>
      <c r="C187" t="s">
        <v>814</v>
      </c>
      <c r="D187">
        <v>4885</v>
      </c>
      <c r="E187" t="str">
        <f>"050201201"</f>
        <v>050201201</v>
      </c>
      <c r="F187" t="s">
        <v>844</v>
      </c>
      <c r="G187" t="s">
        <v>42</v>
      </c>
      <c r="H187" t="s">
        <v>845</v>
      </c>
      <c r="I187" t="s">
        <v>394</v>
      </c>
      <c r="J187" t="s">
        <v>846</v>
      </c>
      <c r="K187" t="str">
        <f>"9283487060"</f>
        <v>9283487060</v>
      </c>
      <c r="L187" t="str">
        <f>""</f>
        <v/>
      </c>
      <c r="M187" t="str">
        <f t="shared" si="36"/>
        <v>9283487001</v>
      </c>
      <c r="N187" t="str">
        <f>""</f>
        <v/>
      </c>
      <c r="O187" t="s">
        <v>847</v>
      </c>
      <c r="P187" t="s">
        <v>848</v>
      </c>
      <c r="R187" t="s">
        <v>820</v>
      </c>
      <c r="S187" t="s">
        <v>36</v>
      </c>
      <c r="T187" t="str">
        <f t="shared" si="37"/>
        <v>85546</v>
      </c>
      <c r="U187" t="str">
        <f>""</f>
        <v/>
      </c>
      <c r="V187" t="s">
        <v>849</v>
      </c>
      <c r="X187" t="s">
        <v>820</v>
      </c>
      <c r="Y187" t="s">
        <v>36</v>
      </c>
      <c r="Z187" t="str">
        <f t="shared" si="38"/>
        <v>85546</v>
      </c>
      <c r="AA187" t="str">
        <f>""</f>
        <v/>
      </c>
      <c r="AB187" t="s">
        <v>821</v>
      </c>
    </row>
    <row r="188" spans="1:28" x14ac:dyDescent="0.25">
      <c r="A188">
        <v>4218</v>
      </c>
      <c r="B188" t="str">
        <f t="shared" si="35"/>
        <v>050201000</v>
      </c>
      <c r="C188" t="s">
        <v>814</v>
      </c>
      <c r="D188">
        <v>79780</v>
      </c>
      <c r="E188" t="str">
        <f>"050201103"</f>
        <v>050201103</v>
      </c>
      <c r="F188" t="s">
        <v>850</v>
      </c>
      <c r="G188" t="s">
        <v>42</v>
      </c>
      <c r="H188" t="s">
        <v>851</v>
      </c>
      <c r="I188" t="s">
        <v>110</v>
      </c>
      <c r="J188" t="s">
        <v>852</v>
      </c>
      <c r="K188" t="str">
        <f>"9283487030"</f>
        <v>9283487030</v>
      </c>
      <c r="L188" t="str">
        <f>""</f>
        <v/>
      </c>
      <c r="M188" t="str">
        <f t="shared" si="36"/>
        <v>9283487001</v>
      </c>
      <c r="N188" t="str">
        <f>""</f>
        <v/>
      </c>
      <c r="O188" t="s">
        <v>853</v>
      </c>
      <c r="P188" t="s">
        <v>854</v>
      </c>
      <c r="R188" t="s">
        <v>820</v>
      </c>
      <c r="S188" t="s">
        <v>36</v>
      </c>
      <c r="T188" t="str">
        <f t="shared" si="37"/>
        <v>85546</v>
      </c>
      <c r="U188" t="str">
        <f>""</f>
        <v/>
      </c>
      <c r="V188" t="s">
        <v>855</v>
      </c>
      <c r="X188" t="s">
        <v>820</v>
      </c>
      <c r="Y188" t="s">
        <v>36</v>
      </c>
      <c r="Z188" t="str">
        <f t="shared" si="38"/>
        <v>85546</v>
      </c>
      <c r="AA188" t="str">
        <f>""</f>
        <v/>
      </c>
      <c r="AB188" t="s">
        <v>821</v>
      </c>
    </row>
    <row r="189" spans="1:28" x14ac:dyDescent="0.25">
      <c r="A189">
        <v>4219</v>
      </c>
      <c r="B189" t="str">
        <f>"050204000"</f>
        <v>050204000</v>
      </c>
      <c r="C189" t="s">
        <v>856</v>
      </c>
      <c r="D189">
        <v>0</v>
      </c>
      <c r="E189" t="str">
        <f>""</f>
        <v/>
      </c>
      <c r="G189" t="s">
        <v>29</v>
      </c>
      <c r="H189" t="s">
        <v>857</v>
      </c>
      <c r="I189" t="s">
        <v>858</v>
      </c>
      <c r="J189" t="s">
        <v>859</v>
      </c>
      <c r="K189" t="str">
        <f>"9283487201"</f>
        <v>9283487201</v>
      </c>
      <c r="L189" t="str">
        <f>"7205"</f>
        <v>7205</v>
      </c>
      <c r="M189" t="str">
        <f>"9283487220"</f>
        <v>9283487220</v>
      </c>
      <c r="N189" t="str">
        <f>""</f>
        <v/>
      </c>
      <c r="O189" t="s">
        <v>860</v>
      </c>
      <c r="P189" t="s">
        <v>91</v>
      </c>
      <c r="R189" t="s">
        <v>861</v>
      </c>
      <c r="S189" t="s">
        <v>36</v>
      </c>
      <c r="T189" t="str">
        <f>"85552"</f>
        <v>85552</v>
      </c>
      <c r="U189" t="str">
        <f>""</f>
        <v/>
      </c>
      <c r="V189" t="s">
        <v>862</v>
      </c>
      <c r="X189" t="s">
        <v>861</v>
      </c>
      <c r="Y189" t="s">
        <v>36</v>
      </c>
      <c r="Z189" t="str">
        <f>"85552"</f>
        <v>85552</v>
      </c>
      <c r="AA189" t="str">
        <f>""</f>
        <v/>
      </c>
      <c r="AB189" t="s">
        <v>632</v>
      </c>
    </row>
    <row r="190" spans="1:28" x14ac:dyDescent="0.25">
      <c r="A190">
        <v>4219</v>
      </c>
      <c r="B190" t="str">
        <f>"050204000"</f>
        <v>050204000</v>
      </c>
      <c r="C190" t="s">
        <v>856</v>
      </c>
      <c r="D190">
        <v>4886</v>
      </c>
      <c r="E190" t="str">
        <f>"050204100"</f>
        <v>050204100</v>
      </c>
      <c r="F190" t="s">
        <v>863</v>
      </c>
      <c r="G190" t="s">
        <v>42</v>
      </c>
      <c r="H190" t="s">
        <v>864</v>
      </c>
      <c r="I190" t="s">
        <v>865</v>
      </c>
      <c r="J190" t="s">
        <v>32</v>
      </c>
      <c r="K190" t="str">
        <f>"9283487201"</f>
        <v>9283487201</v>
      </c>
      <c r="L190" t="str">
        <f>"7211"</f>
        <v>7211</v>
      </c>
      <c r="M190" t="str">
        <f>"9283487220"</f>
        <v>9283487220</v>
      </c>
      <c r="N190" t="str">
        <f>""</f>
        <v/>
      </c>
      <c r="O190" t="s">
        <v>866</v>
      </c>
      <c r="P190" t="s">
        <v>91</v>
      </c>
      <c r="R190" t="s">
        <v>861</v>
      </c>
      <c r="S190" t="s">
        <v>36</v>
      </c>
      <c r="T190" t="str">
        <f>"85552"</f>
        <v>85552</v>
      </c>
      <c r="U190" t="str">
        <f>""</f>
        <v/>
      </c>
      <c r="V190" t="s">
        <v>867</v>
      </c>
      <c r="X190" t="s">
        <v>861</v>
      </c>
      <c r="Y190" t="s">
        <v>36</v>
      </c>
      <c r="Z190" t="str">
        <f>"85552"</f>
        <v>85552</v>
      </c>
      <c r="AA190" t="str">
        <f>""</f>
        <v/>
      </c>
      <c r="AB190" t="s">
        <v>632</v>
      </c>
    </row>
    <row r="191" spans="1:28" x14ac:dyDescent="0.25">
      <c r="A191">
        <v>4219</v>
      </c>
      <c r="B191" t="str">
        <f>"050204000"</f>
        <v>050204000</v>
      </c>
      <c r="C191" t="s">
        <v>856</v>
      </c>
      <c r="D191">
        <v>4887</v>
      </c>
      <c r="E191" t="str">
        <f>"050204101"</f>
        <v>050204101</v>
      </c>
      <c r="F191" t="s">
        <v>868</v>
      </c>
      <c r="G191" t="s">
        <v>42</v>
      </c>
      <c r="H191" t="s">
        <v>864</v>
      </c>
      <c r="I191" t="s">
        <v>865</v>
      </c>
      <c r="J191" t="s">
        <v>32</v>
      </c>
      <c r="K191" t="str">
        <f>"9283487201"</f>
        <v>9283487201</v>
      </c>
      <c r="L191" t="str">
        <f>"7211"</f>
        <v>7211</v>
      </c>
      <c r="M191" t="str">
        <f>"9283487220"</f>
        <v>9283487220</v>
      </c>
      <c r="N191" t="str">
        <f>""</f>
        <v/>
      </c>
      <c r="O191" t="s">
        <v>866</v>
      </c>
      <c r="P191" t="s">
        <v>91</v>
      </c>
      <c r="R191" t="s">
        <v>861</v>
      </c>
      <c r="S191" t="s">
        <v>36</v>
      </c>
      <c r="T191" t="str">
        <f>"85552"</f>
        <v>85552</v>
      </c>
      <c r="U191" t="str">
        <f>""</f>
        <v/>
      </c>
      <c r="V191" t="s">
        <v>869</v>
      </c>
      <c r="X191" t="s">
        <v>861</v>
      </c>
      <c r="Y191" t="s">
        <v>36</v>
      </c>
      <c r="Z191" t="str">
        <f>"85552"</f>
        <v>85552</v>
      </c>
      <c r="AA191" t="str">
        <f>""</f>
        <v/>
      </c>
      <c r="AB191" t="s">
        <v>632</v>
      </c>
    </row>
    <row r="192" spans="1:28" x14ac:dyDescent="0.25">
      <c r="A192">
        <v>4219</v>
      </c>
      <c r="B192" t="str">
        <f>"050204000"</f>
        <v>050204000</v>
      </c>
      <c r="C192" t="s">
        <v>856</v>
      </c>
      <c r="D192">
        <v>4888</v>
      </c>
      <c r="E192" t="str">
        <f>"050204102"</f>
        <v>050204102</v>
      </c>
      <c r="F192" t="s">
        <v>870</v>
      </c>
      <c r="G192" t="s">
        <v>42</v>
      </c>
      <c r="H192" t="s">
        <v>864</v>
      </c>
      <c r="I192" t="s">
        <v>865</v>
      </c>
      <c r="J192" t="s">
        <v>32</v>
      </c>
      <c r="K192" t="str">
        <f>"9283487201"</f>
        <v>9283487201</v>
      </c>
      <c r="L192" t="str">
        <f>"7211"</f>
        <v>7211</v>
      </c>
      <c r="M192" t="str">
        <f>"9283487220"</f>
        <v>9283487220</v>
      </c>
      <c r="N192" t="str">
        <f>""</f>
        <v/>
      </c>
      <c r="O192" t="s">
        <v>866</v>
      </c>
      <c r="P192" t="s">
        <v>91</v>
      </c>
      <c r="R192" t="s">
        <v>861</v>
      </c>
      <c r="S192" t="s">
        <v>36</v>
      </c>
      <c r="T192" t="str">
        <f>"85552"</f>
        <v>85552</v>
      </c>
      <c r="U192" t="str">
        <f>""</f>
        <v/>
      </c>
      <c r="V192" t="s">
        <v>871</v>
      </c>
      <c r="X192" t="s">
        <v>861</v>
      </c>
      <c r="Y192" t="s">
        <v>36</v>
      </c>
      <c r="Z192" t="str">
        <f>"85552"</f>
        <v>85552</v>
      </c>
      <c r="AA192" t="str">
        <f>""</f>
        <v/>
      </c>
      <c r="AB192" t="s">
        <v>632</v>
      </c>
    </row>
    <row r="193" spans="1:28" x14ac:dyDescent="0.25">
      <c r="A193">
        <v>4219</v>
      </c>
      <c r="B193" t="str">
        <f>"050204000"</f>
        <v>050204000</v>
      </c>
      <c r="C193" t="s">
        <v>856</v>
      </c>
      <c r="D193">
        <v>4889</v>
      </c>
      <c r="E193" t="str">
        <f>"050204200"</f>
        <v>050204200</v>
      </c>
      <c r="F193" t="s">
        <v>872</v>
      </c>
      <c r="G193" t="s">
        <v>42</v>
      </c>
      <c r="H193" t="s">
        <v>864</v>
      </c>
      <c r="I193" t="s">
        <v>865</v>
      </c>
      <c r="J193" t="s">
        <v>32</v>
      </c>
      <c r="K193" t="str">
        <f>"9283487201"</f>
        <v>9283487201</v>
      </c>
      <c r="L193" t="str">
        <f>"7211"</f>
        <v>7211</v>
      </c>
      <c r="M193" t="str">
        <f>"9283487220"</f>
        <v>9283487220</v>
      </c>
      <c r="N193" t="str">
        <f>""</f>
        <v/>
      </c>
      <c r="O193" t="s">
        <v>866</v>
      </c>
      <c r="P193" t="s">
        <v>91</v>
      </c>
      <c r="R193" t="s">
        <v>861</v>
      </c>
      <c r="S193" t="s">
        <v>36</v>
      </c>
      <c r="T193" t="str">
        <f>"85552"</f>
        <v>85552</v>
      </c>
      <c r="U193" t="str">
        <f>""</f>
        <v/>
      </c>
      <c r="V193" t="s">
        <v>873</v>
      </c>
      <c r="X193" t="s">
        <v>861</v>
      </c>
      <c r="Y193" t="s">
        <v>36</v>
      </c>
      <c r="Z193" t="str">
        <f>"85552"</f>
        <v>85552</v>
      </c>
      <c r="AA193" t="str">
        <f>""</f>
        <v/>
      </c>
      <c r="AB193" t="s">
        <v>632</v>
      </c>
    </row>
    <row r="194" spans="1:28" x14ac:dyDescent="0.25">
      <c r="A194">
        <v>4220</v>
      </c>
      <c r="B194" t="str">
        <f>"050206000"</f>
        <v>050206000</v>
      </c>
      <c r="C194" t="s">
        <v>874</v>
      </c>
      <c r="D194">
        <v>0</v>
      </c>
      <c r="E194" t="str">
        <f>""</f>
        <v/>
      </c>
      <c r="G194" t="s">
        <v>29</v>
      </c>
      <c r="H194" t="s">
        <v>320</v>
      </c>
      <c r="I194" t="s">
        <v>875</v>
      </c>
      <c r="J194" t="s">
        <v>876</v>
      </c>
      <c r="K194" t="str">
        <f>"9283878003"</f>
        <v>9283878003</v>
      </c>
      <c r="L194" t="str">
        <f>""</f>
        <v/>
      </c>
      <c r="M194" t="str">
        <f>"9283878020"</f>
        <v>9283878020</v>
      </c>
      <c r="N194" t="str">
        <f>""</f>
        <v/>
      </c>
      <c r="O194" t="s">
        <v>877</v>
      </c>
      <c r="P194" t="s">
        <v>878</v>
      </c>
      <c r="R194" t="s">
        <v>879</v>
      </c>
      <c r="S194" t="s">
        <v>36</v>
      </c>
      <c r="T194" t="str">
        <f>"85543"</f>
        <v>85543</v>
      </c>
      <c r="U194" t="str">
        <f>""</f>
        <v/>
      </c>
      <c r="V194" t="s">
        <v>880</v>
      </c>
      <c r="X194" t="s">
        <v>879</v>
      </c>
      <c r="Y194" t="s">
        <v>36</v>
      </c>
      <c r="Z194" t="str">
        <f>"85543"</f>
        <v>85543</v>
      </c>
      <c r="AA194" t="str">
        <f>""</f>
        <v/>
      </c>
      <c r="AB194" t="s">
        <v>265</v>
      </c>
    </row>
    <row r="195" spans="1:28" x14ac:dyDescent="0.25">
      <c r="A195">
        <v>4220</v>
      </c>
      <c r="B195" t="str">
        <f>"050206000"</f>
        <v>050206000</v>
      </c>
      <c r="C195" t="s">
        <v>874</v>
      </c>
      <c r="D195">
        <v>4879</v>
      </c>
      <c r="E195" t="str">
        <f>"050199001"</f>
        <v>050199001</v>
      </c>
      <c r="F195" t="s">
        <v>881</v>
      </c>
      <c r="G195" t="s">
        <v>42</v>
      </c>
      <c r="H195" t="s">
        <v>320</v>
      </c>
      <c r="I195" t="s">
        <v>875</v>
      </c>
      <c r="J195" t="s">
        <v>882</v>
      </c>
      <c r="K195" t="str">
        <f>"9283878003"</f>
        <v>9283878003</v>
      </c>
      <c r="L195" t="str">
        <f>""</f>
        <v/>
      </c>
      <c r="M195" t="str">
        <f>"9283878020"</f>
        <v>9283878020</v>
      </c>
      <c r="N195" t="str">
        <f>""</f>
        <v/>
      </c>
      <c r="O195" t="s">
        <v>877</v>
      </c>
      <c r="P195" t="s">
        <v>878</v>
      </c>
      <c r="R195" t="s">
        <v>879</v>
      </c>
      <c r="S195" t="s">
        <v>36</v>
      </c>
      <c r="T195" t="str">
        <f>"85543"</f>
        <v>85543</v>
      </c>
      <c r="U195" t="str">
        <f>""</f>
        <v/>
      </c>
      <c r="V195" t="s">
        <v>883</v>
      </c>
      <c r="X195" t="s">
        <v>879</v>
      </c>
      <c r="Y195" t="s">
        <v>36</v>
      </c>
      <c r="Z195" t="str">
        <f>"85543"</f>
        <v>85543</v>
      </c>
      <c r="AA195" t="str">
        <f>""</f>
        <v/>
      </c>
      <c r="AB195" t="s">
        <v>265</v>
      </c>
    </row>
    <row r="196" spans="1:28" x14ac:dyDescent="0.25">
      <c r="A196">
        <v>4220</v>
      </c>
      <c r="B196" t="str">
        <f>"050206000"</f>
        <v>050206000</v>
      </c>
      <c r="C196" t="s">
        <v>874</v>
      </c>
      <c r="D196">
        <v>4890</v>
      </c>
      <c r="E196" t="str">
        <f>"050206101"</f>
        <v>050206101</v>
      </c>
      <c r="F196" t="s">
        <v>884</v>
      </c>
      <c r="G196" t="s">
        <v>42</v>
      </c>
      <c r="H196" t="s">
        <v>320</v>
      </c>
      <c r="I196" t="s">
        <v>875</v>
      </c>
      <c r="J196" t="s">
        <v>134</v>
      </c>
      <c r="K196" t="str">
        <f>"9283878003"</f>
        <v>9283878003</v>
      </c>
      <c r="L196" t="str">
        <f>""</f>
        <v/>
      </c>
      <c r="M196" t="str">
        <f>"9283878020"</f>
        <v>9283878020</v>
      </c>
      <c r="N196" t="str">
        <f>""</f>
        <v/>
      </c>
      <c r="O196" t="s">
        <v>877</v>
      </c>
      <c r="P196" t="s">
        <v>878</v>
      </c>
      <c r="R196" t="s">
        <v>879</v>
      </c>
      <c r="S196" t="s">
        <v>36</v>
      </c>
      <c r="T196" t="str">
        <f>"85543"</f>
        <v>85543</v>
      </c>
      <c r="U196" t="str">
        <f>""</f>
        <v/>
      </c>
      <c r="V196" t="s">
        <v>885</v>
      </c>
      <c r="X196" t="s">
        <v>879</v>
      </c>
      <c r="Y196" t="s">
        <v>36</v>
      </c>
      <c r="Z196" t="str">
        <f>"85543"</f>
        <v>85543</v>
      </c>
      <c r="AA196" t="str">
        <f>""</f>
        <v/>
      </c>
      <c r="AB196" t="s">
        <v>265</v>
      </c>
    </row>
    <row r="197" spans="1:28" x14ac:dyDescent="0.25">
      <c r="A197">
        <v>4220</v>
      </c>
      <c r="B197" t="str">
        <f>"050206000"</f>
        <v>050206000</v>
      </c>
      <c r="C197" t="s">
        <v>874</v>
      </c>
      <c r="D197">
        <v>4891</v>
      </c>
      <c r="E197" t="str">
        <f>"050206202"</f>
        <v>050206202</v>
      </c>
      <c r="F197" t="s">
        <v>886</v>
      </c>
      <c r="G197" t="s">
        <v>42</v>
      </c>
      <c r="H197" t="s">
        <v>320</v>
      </c>
      <c r="I197" t="s">
        <v>875</v>
      </c>
      <c r="J197" t="s">
        <v>134</v>
      </c>
      <c r="K197" t="str">
        <f>"9283878003"</f>
        <v>9283878003</v>
      </c>
      <c r="L197" t="str">
        <f>""</f>
        <v/>
      </c>
      <c r="M197" t="str">
        <f>"9283878020"</f>
        <v>9283878020</v>
      </c>
      <c r="N197" t="str">
        <f>""</f>
        <v/>
      </c>
      <c r="O197" t="s">
        <v>877</v>
      </c>
      <c r="P197" t="s">
        <v>878</v>
      </c>
      <c r="R197" t="s">
        <v>879</v>
      </c>
      <c r="S197" t="s">
        <v>36</v>
      </c>
      <c r="T197" t="str">
        <f>"85543"</f>
        <v>85543</v>
      </c>
      <c r="U197" t="str">
        <f>""</f>
        <v/>
      </c>
      <c r="V197" t="s">
        <v>887</v>
      </c>
      <c r="X197" t="s">
        <v>879</v>
      </c>
      <c r="Y197" t="s">
        <v>36</v>
      </c>
      <c r="Z197" t="str">
        <f>"85543"</f>
        <v>85543</v>
      </c>
      <c r="AA197" t="str">
        <f>""</f>
        <v/>
      </c>
      <c r="AB197" t="s">
        <v>265</v>
      </c>
    </row>
    <row r="198" spans="1:28" x14ac:dyDescent="0.25">
      <c r="A198">
        <v>4221</v>
      </c>
      <c r="B198" t="str">
        <f>"050207000"</f>
        <v>050207000</v>
      </c>
      <c r="C198" t="s">
        <v>888</v>
      </c>
      <c r="D198">
        <v>0</v>
      </c>
      <c r="E198" t="str">
        <f>""</f>
        <v/>
      </c>
      <c r="G198" t="s">
        <v>29</v>
      </c>
      <c r="H198" t="s">
        <v>889</v>
      </c>
      <c r="I198" t="s">
        <v>890</v>
      </c>
      <c r="J198" t="s">
        <v>301</v>
      </c>
      <c r="K198" t="str">
        <f>"9284252433"</f>
        <v>9284252433</v>
      </c>
      <c r="L198" t="str">
        <f>"5909"</f>
        <v>5909</v>
      </c>
      <c r="M198" t="str">
        <f>"9284853068"</f>
        <v>9284853068</v>
      </c>
      <c r="N198" t="str">
        <f>""</f>
        <v/>
      </c>
      <c r="O198" t="s">
        <v>891</v>
      </c>
      <c r="P198" t="s">
        <v>892</v>
      </c>
      <c r="R198" t="s">
        <v>893</v>
      </c>
      <c r="S198" t="s">
        <v>36</v>
      </c>
      <c r="T198" t="str">
        <f>"85536"</f>
        <v>85536</v>
      </c>
      <c r="U198" t="str">
        <f>""</f>
        <v/>
      </c>
      <c r="V198" t="s">
        <v>894</v>
      </c>
      <c r="X198" t="s">
        <v>893</v>
      </c>
      <c r="Y198" t="s">
        <v>36</v>
      </c>
      <c r="Z198" t="str">
        <f>"85536"</f>
        <v>85536</v>
      </c>
      <c r="AA198" t="str">
        <f>""</f>
        <v/>
      </c>
      <c r="AB198" t="s">
        <v>516</v>
      </c>
    </row>
    <row r="199" spans="1:28" x14ac:dyDescent="0.25">
      <c r="A199">
        <v>4221</v>
      </c>
      <c r="B199" t="str">
        <f>"050207000"</f>
        <v>050207000</v>
      </c>
      <c r="C199" t="s">
        <v>888</v>
      </c>
      <c r="D199">
        <v>4892</v>
      </c>
      <c r="E199" t="str">
        <f>"050207101"</f>
        <v>050207101</v>
      </c>
      <c r="F199" t="s">
        <v>895</v>
      </c>
      <c r="G199" t="s">
        <v>42</v>
      </c>
      <c r="H199" t="s">
        <v>896</v>
      </c>
      <c r="I199" t="s">
        <v>897</v>
      </c>
      <c r="J199" t="s">
        <v>898</v>
      </c>
      <c r="K199" t="str">
        <f>"9284852433"</f>
        <v>9284852433</v>
      </c>
      <c r="L199" t="str">
        <f>"4231"</f>
        <v>4231</v>
      </c>
      <c r="M199" t="str">
        <f>"9284852834"</f>
        <v>9284852834</v>
      </c>
      <c r="N199" t="str">
        <f>""</f>
        <v/>
      </c>
      <c r="O199" t="s">
        <v>899</v>
      </c>
      <c r="P199" t="s">
        <v>900</v>
      </c>
      <c r="R199" t="s">
        <v>893</v>
      </c>
      <c r="S199" t="s">
        <v>36</v>
      </c>
      <c r="T199" t="str">
        <f>"85536"</f>
        <v>85536</v>
      </c>
      <c r="U199" t="str">
        <f>""</f>
        <v/>
      </c>
      <c r="V199" t="s">
        <v>894</v>
      </c>
      <c r="X199" t="s">
        <v>893</v>
      </c>
      <c r="Y199" t="s">
        <v>36</v>
      </c>
      <c r="Z199" t="str">
        <f>"85536"</f>
        <v>85536</v>
      </c>
      <c r="AA199" t="str">
        <f>""</f>
        <v/>
      </c>
      <c r="AB199" t="s">
        <v>516</v>
      </c>
    </row>
    <row r="200" spans="1:28" x14ac:dyDescent="0.25">
      <c r="A200">
        <v>4221</v>
      </c>
      <c r="B200" t="str">
        <f>"050207000"</f>
        <v>050207000</v>
      </c>
      <c r="C200" t="s">
        <v>888</v>
      </c>
      <c r="D200">
        <v>4893</v>
      </c>
      <c r="E200" t="str">
        <f>"050207202"</f>
        <v>050207202</v>
      </c>
      <c r="F200" t="s">
        <v>901</v>
      </c>
      <c r="G200" t="s">
        <v>42</v>
      </c>
      <c r="H200" t="s">
        <v>896</v>
      </c>
      <c r="I200" t="s">
        <v>897</v>
      </c>
      <c r="J200" t="s">
        <v>902</v>
      </c>
      <c r="K200" t="str">
        <f>"9284852433"</f>
        <v>9284852433</v>
      </c>
      <c r="L200" t="str">
        <f>"4231"</f>
        <v>4231</v>
      </c>
      <c r="M200" t="str">
        <f>"9284852834"</f>
        <v>9284852834</v>
      </c>
      <c r="N200" t="str">
        <f>""</f>
        <v/>
      </c>
      <c r="O200" t="s">
        <v>899</v>
      </c>
      <c r="P200" t="s">
        <v>903</v>
      </c>
      <c r="R200" t="s">
        <v>893</v>
      </c>
      <c r="S200" t="s">
        <v>36</v>
      </c>
      <c r="T200" t="str">
        <f>"85536"</f>
        <v>85536</v>
      </c>
      <c r="U200" t="str">
        <f>""</f>
        <v/>
      </c>
      <c r="V200" t="s">
        <v>904</v>
      </c>
      <c r="X200" t="s">
        <v>893</v>
      </c>
      <c r="Y200" t="s">
        <v>36</v>
      </c>
      <c r="Z200" t="str">
        <f>"85536"</f>
        <v>85536</v>
      </c>
      <c r="AA200" t="str">
        <f>""</f>
        <v/>
      </c>
      <c r="AB200" t="s">
        <v>516</v>
      </c>
    </row>
    <row r="201" spans="1:28" x14ac:dyDescent="0.25">
      <c r="A201">
        <v>4221</v>
      </c>
      <c r="B201" t="str">
        <f>"050207000"</f>
        <v>050207000</v>
      </c>
      <c r="C201" t="s">
        <v>888</v>
      </c>
      <c r="D201">
        <v>90064</v>
      </c>
      <c r="E201" t="str">
        <f>"050207204"</f>
        <v>050207204</v>
      </c>
      <c r="F201" t="s">
        <v>905</v>
      </c>
      <c r="G201" t="s">
        <v>42</v>
      </c>
      <c r="H201" t="s">
        <v>896</v>
      </c>
      <c r="I201" t="s">
        <v>897</v>
      </c>
      <c r="J201" t="s">
        <v>898</v>
      </c>
      <c r="K201" t="str">
        <f>"9284852427"</f>
        <v>9284852427</v>
      </c>
      <c r="L201" t="str">
        <f>"4231"</f>
        <v>4231</v>
      </c>
      <c r="M201" t="str">
        <f>"9284852834"</f>
        <v>9284852834</v>
      </c>
      <c r="N201" t="str">
        <f>""</f>
        <v/>
      </c>
      <c r="O201" t="s">
        <v>899</v>
      </c>
      <c r="P201" t="s">
        <v>906</v>
      </c>
      <c r="R201" t="s">
        <v>907</v>
      </c>
      <c r="S201" t="s">
        <v>36</v>
      </c>
      <c r="T201" t="str">
        <f>"85530"</f>
        <v>85530</v>
      </c>
      <c r="U201" t="str">
        <f>""</f>
        <v/>
      </c>
      <c r="V201" t="s">
        <v>908</v>
      </c>
      <c r="X201" t="s">
        <v>907</v>
      </c>
      <c r="Y201" t="s">
        <v>36</v>
      </c>
      <c r="Z201" t="str">
        <f>"85530"</f>
        <v>85530</v>
      </c>
      <c r="AA201" t="str">
        <f>""</f>
        <v/>
      </c>
      <c r="AB201" t="s">
        <v>516</v>
      </c>
    </row>
    <row r="202" spans="1:28" x14ac:dyDescent="0.25">
      <c r="A202">
        <v>4221</v>
      </c>
      <c r="B202" t="str">
        <f>"050207000"</f>
        <v>050207000</v>
      </c>
      <c r="C202" t="s">
        <v>888</v>
      </c>
      <c r="D202">
        <v>92618</v>
      </c>
      <c r="E202" t="str">
        <f>"050207103"</f>
        <v>050207103</v>
      </c>
      <c r="F202" t="s">
        <v>909</v>
      </c>
      <c r="G202" t="s">
        <v>42</v>
      </c>
      <c r="H202" t="s">
        <v>896</v>
      </c>
      <c r="I202" t="s">
        <v>897</v>
      </c>
      <c r="J202" t="s">
        <v>902</v>
      </c>
      <c r="K202" t="str">
        <f>"9284852433"</f>
        <v>9284852433</v>
      </c>
      <c r="L202" t="str">
        <f>"4231"</f>
        <v>4231</v>
      </c>
      <c r="M202" t="str">
        <f>"9284852834"</f>
        <v>9284852834</v>
      </c>
      <c r="N202" t="str">
        <f>""</f>
        <v/>
      </c>
      <c r="O202" t="s">
        <v>899</v>
      </c>
      <c r="P202" t="s">
        <v>910</v>
      </c>
      <c r="R202" t="s">
        <v>907</v>
      </c>
      <c r="S202" t="s">
        <v>36</v>
      </c>
      <c r="T202" t="str">
        <f>"85530"</f>
        <v>85530</v>
      </c>
      <c r="U202" t="str">
        <f>""</f>
        <v/>
      </c>
      <c r="V202" t="s">
        <v>910</v>
      </c>
      <c r="X202" t="s">
        <v>907</v>
      </c>
      <c r="Y202" t="s">
        <v>36</v>
      </c>
      <c r="Z202" t="str">
        <f>"85530"</f>
        <v>85530</v>
      </c>
      <c r="AA202" t="str">
        <f>""</f>
        <v/>
      </c>
      <c r="AB202" t="s">
        <v>516</v>
      </c>
    </row>
    <row r="203" spans="1:28" x14ac:dyDescent="0.25">
      <c r="A203">
        <v>4222</v>
      </c>
      <c r="B203" t="str">
        <f>"050305000"</f>
        <v>050305000</v>
      </c>
      <c r="C203" t="s">
        <v>911</v>
      </c>
      <c r="D203">
        <v>0</v>
      </c>
      <c r="E203" t="str">
        <f>""</f>
        <v/>
      </c>
      <c r="G203" t="s">
        <v>29</v>
      </c>
      <c r="H203" t="s">
        <v>912</v>
      </c>
      <c r="I203" t="s">
        <v>913</v>
      </c>
      <c r="J203" t="s">
        <v>449</v>
      </c>
      <c r="K203" t="str">
        <f>"9284280477"</f>
        <v>9284280477</v>
      </c>
      <c r="L203" t="str">
        <f>""</f>
        <v/>
      </c>
      <c r="M203" t="str">
        <f>"9284280398"</f>
        <v>9284280398</v>
      </c>
      <c r="N203" t="str">
        <f>""</f>
        <v/>
      </c>
      <c r="O203" t="s">
        <v>914</v>
      </c>
      <c r="P203" t="s">
        <v>915</v>
      </c>
      <c r="R203" t="s">
        <v>916</v>
      </c>
      <c r="S203" t="s">
        <v>36</v>
      </c>
      <c r="T203" t="str">
        <f>"85551"</f>
        <v>85551</v>
      </c>
      <c r="U203" t="str">
        <f>"0167"</f>
        <v>0167</v>
      </c>
      <c r="V203" t="s">
        <v>917</v>
      </c>
      <c r="X203" t="s">
        <v>916</v>
      </c>
      <c r="Y203" t="s">
        <v>36</v>
      </c>
      <c r="Z203" t="str">
        <f>"85551"</f>
        <v>85551</v>
      </c>
      <c r="AA203" t="str">
        <f>"0167"</f>
        <v>0167</v>
      </c>
      <c r="AB203" t="s">
        <v>86</v>
      </c>
    </row>
    <row r="204" spans="1:28" x14ac:dyDescent="0.25">
      <c r="A204">
        <v>4222</v>
      </c>
      <c r="B204" t="str">
        <f>"050305000"</f>
        <v>050305000</v>
      </c>
      <c r="C204" t="s">
        <v>911</v>
      </c>
      <c r="D204">
        <v>4894</v>
      </c>
      <c r="E204" t="str">
        <f>"050305101"</f>
        <v>050305101</v>
      </c>
      <c r="F204" t="s">
        <v>918</v>
      </c>
      <c r="G204" t="s">
        <v>42</v>
      </c>
      <c r="H204" t="s">
        <v>840</v>
      </c>
      <c r="I204" t="s">
        <v>919</v>
      </c>
      <c r="J204" t="s">
        <v>920</v>
      </c>
      <c r="K204" t="str">
        <f>"9284280477"</f>
        <v>9284280477</v>
      </c>
      <c r="L204" t="str">
        <f>"123"</f>
        <v>123</v>
      </c>
      <c r="M204" t="str">
        <f>"9284280398"</f>
        <v>9284280398</v>
      </c>
      <c r="N204" t="str">
        <f>""</f>
        <v/>
      </c>
      <c r="O204" t="s">
        <v>914</v>
      </c>
      <c r="P204" t="s">
        <v>921</v>
      </c>
      <c r="Q204" t="s">
        <v>917</v>
      </c>
      <c r="R204" t="s">
        <v>916</v>
      </c>
      <c r="S204" t="s">
        <v>36</v>
      </c>
      <c r="T204" t="str">
        <f>"85551"</f>
        <v>85551</v>
      </c>
      <c r="U204" t="str">
        <f>"0167"</f>
        <v>0167</v>
      </c>
      <c r="V204" t="s">
        <v>922</v>
      </c>
      <c r="X204" t="s">
        <v>916</v>
      </c>
      <c r="Y204" t="s">
        <v>36</v>
      </c>
      <c r="Z204" t="str">
        <f>"85551"</f>
        <v>85551</v>
      </c>
      <c r="AA204" t="str">
        <f>"0167"</f>
        <v>0167</v>
      </c>
      <c r="AB204" t="s">
        <v>86</v>
      </c>
    </row>
    <row r="205" spans="1:28" x14ac:dyDescent="0.25">
      <c r="A205">
        <v>4224</v>
      </c>
      <c r="B205" t="str">
        <f>"050316000"</f>
        <v>050316000</v>
      </c>
      <c r="C205" t="s">
        <v>923</v>
      </c>
      <c r="D205">
        <v>0</v>
      </c>
      <c r="E205" t="str">
        <f>""</f>
        <v/>
      </c>
      <c r="G205" t="s">
        <v>29</v>
      </c>
      <c r="H205" t="s">
        <v>924</v>
      </c>
      <c r="I205" t="s">
        <v>925</v>
      </c>
      <c r="J205" t="s">
        <v>926</v>
      </c>
      <c r="K205" t="str">
        <f>"9288283363"</f>
        <v>9288283363</v>
      </c>
      <c r="L205" t="str">
        <f>"211"</f>
        <v>211</v>
      </c>
      <c r="M205" t="str">
        <f>"9288283422"</f>
        <v>9288283422</v>
      </c>
      <c r="N205" t="str">
        <f>"211"</f>
        <v>211</v>
      </c>
      <c r="O205" t="s">
        <v>927</v>
      </c>
      <c r="P205" t="s">
        <v>928</v>
      </c>
      <c r="R205" t="s">
        <v>929</v>
      </c>
      <c r="S205" t="s">
        <v>36</v>
      </c>
      <c r="T205" t="str">
        <f>"85643"</f>
        <v>85643</v>
      </c>
      <c r="U205" t="str">
        <f>""</f>
        <v/>
      </c>
      <c r="V205" t="s">
        <v>928</v>
      </c>
      <c r="X205" t="s">
        <v>929</v>
      </c>
      <c r="Y205" t="s">
        <v>36</v>
      </c>
      <c r="Z205" t="str">
        <f>"85643"</f>
        <v>85643</v>
      </c>
      <c r="AA205" t="str">
        <f>""</f>
        <v/>
      </c>
      <c r="AB205" t="s">
        <v>508</v>
      </c>
    </row>
    <row r="206" spans="1:28" x14ac:dyDescent="0.25">
      <c r="A206">
        <v>4224</v>
      </c>
      <c r="B206" t="str">
        <f>"050316000"</f>
        <v>050316000</v>
      </c>
      <c r="C206" t="s">
        <v>923</v>
      </c>
      <c r="D206">
        <v>4896</v>
      </c>
      <c r="E206" t="str">
        <f>"050316101"</f>
        <v>050316101</v>
      </c>
      <c r="F206" t="s">
        <v>930</v>
      </c>
      <c r="G206" t="s">
        <v>42</v>
      </c>
      <c r="H206" t="s">
        <v>924</v>
      </c>
      <c r="I206" t="s">
        <v>925</v>
      </c>
      <c r="J206" t="s">
        <v>195</v>
      </c>
      <c r="K206" t="str">
        <f>"9288283363"</f>
        <v>9288283363</v>
      </c>
      <c r="L206" t="str">
        <f>"211"</f>
        <v>211</v>
      </c>
      <c r="M206" t="str">
        <f>"9288283422"</f>
        <v>9288283422</v>
      </c>
      <c r="N206" t="str">
        <f>""</f>
        <v/>
      </c>
      <c r="O206" t="s">
        <v>927</v>
      </c>
      <c r="P206" t="s">
        <v>928</v>
      </c>
      <c r="R206" t="s">
        <v>929</v>
      </c>
      <c r="S206" t="s">
        <v>36</v>
      </c>
      <c r="T206" t="str">
        <f>"85643"</f>
        <v>85643</v>
      </c>
      <c r="U206" t="str">
        <f>""</f>
        <v/>
      </c>
      <c r="V206" t="s">
        <v>928</v>
      </c>
      <c r="X206" t="s">
        <v>929</v>
      </c>
      <c r="Y206" t="s">
        <v>36</v>
      </c>
      <c r="Z206" t="str">
        <f>"85643"</f>
        <v>85643</v>
      </c>
      <c r="AA206" t="str">
        <f>""</f>
        <v/>
      </c>
      <c r="AB206" t="s">
        <v>508</v>
      </c>
    </row>
    <row r="207" spans="1:28" x14ac:dyDescent="0.25">
      <c r="A207">
        <v>4228</v>
      </c>
      <c r="B207" t="str">
        <f>"060202000"</f>
        <v>060202000</v>
      </c>
      <c r="C207" t="s">
        <v>931</v>
      </c>
      <c r="D207">
        <v>0</v>
      </c>
      <c r="E207" t="str">
        <f>""</f>
        <v/>
      </c>
      <c r="G207" t="s">
        <v>29</v>
      </c>
      <c r="H207" t="s">
        <v>932</v>
      </c>
      <c r="I207" t="s">
        <v>933</v>
      </c>
      <c r="J207" t="s">
        <v>315</v>
      </c>
      <c r="K207" t="str">
        <f>"9282150064"</f>
        <v>9282150064</v>
      </c>
      <c r="L207" t="str">
        <f>"0"</f>
        <v>0</v>
      </c>
      <c r="M207" t="str">
        <f>"9283592807"</f>
        <v>9283592807</v>
      </c>
      <c r="N207" t="str">
        <f>"0"</f>
        <v>0</v>
      </c>
      <c r="O207" t="s">
        <v>934</v>
      </c>
      <c r="P207" t="s">
        <v>935</v>
      </c>
      <c r="R207" t="s">
        <v>936</v>
      </c>
      <c r="S207" t="s">
        <v>36</v>
      </c>
      <c r="T207" t="str">
        <f>"85534"</f>
        <v>85534</v>
      </c>
      <c r="U207" t="str">
        <f>""</f>
        <v/>
      </c>
      <c r="V207" t="s">
        <v>937</v>
      </c>
      <c r="X207" t="s">
        <v>936</v>
      </c>
      <c r="Y207" t="s">
        <v>36</v>
      </c>
      <c r="Z207" t="str">
        <f>"85534"</f>
        <v>85534</v>
      </c>
      <c r="AA207" t="str">
        <f>""</f>
        <v/>
      </c>
      <c r="AB207" t="s">
        <v>217</v>
      </c>
    </row>
    <row r="208" spans="1:28" x14ac:dyDescent="0.25">
      <c r="A208">
        <v>4228</v>
      </c>
      <c r="B208" t="str">
        <f>"060202000"</f>
        <v>060202000</v>
      </c>
      <c r="C208" t="s">
        <v>931</v>
      </c>
      <c r="D208">
        <v>4902</v>
      </c>
      <c r="E208" t="str">
        <f>"060202102"</f>
        <v>060202102</v>
      </c>
      <c r="F208" t="s">
        <v>938</v>
      </c>
      <c r="G208" t="s">
        <v>42</v>
      </c>
      <c r="H208" t="s">
        <v>932</v>
      </c>
      <c r="I208" t="s">
        <v>933</v>
      </c>
      <c r="J208" t="s">
        <v>315</v>
      </c>
      <c r="K208" t="str">
        <f>"9283592472"</f>
        <v>9283592472</v>
      </c>
      <c r="L208" t="str">
        <f>"323"</f>
        <v>323</v>
      </c>
      <c r="M208" t="str">
        <f>"9283592807"</f>
        <v>9283592807</v>
      </c>
      <c r="N208" t="str">
        <f>""</f>
        <v/>
      </c>
      <c r="O208" t="s">
        <v>934</v>
      </c>
      <c r="P208" t="s">
        <v>935</v>
      </c>
      <c r="R208" t="s">
        <v>936</v>
      </c>
      <c r="S208" t="s">
        <v>36</v>
      </c>
      <c r="T208" t="str">
        <f>"85534"</f>
        <v>85534</v>
      </c>
      <c r="U208" t="str">
        <f>""</f>
        <v/>
      </c>
      <c r="V208" t="s">
        <v>939</v>
      </c>
      <c r="X208" t="s">
        <v>936</v>
      </c>
      <c r="Y208" t="s">
        <v>36</v>
      </c>
      <c r="Z208" t="str">
        <f>"85534"</f>
        <v>85534</v>
      </c>
      <c r="AA208" t="str">
        <f>""</f>
        <v/>
      </c>
      <c r="AB208" t="s">
        <v>217</v>
      </c>
    </row>
    <row r="209" spans="1:28" x14ac:dyDescent="0.25">
      <c r="A209">
        <v>4228</v>
      </c>
      <c r="B209" t="str">
        <f>"060202000"</f>
        <v>060202000</v>
      </c>
      <c r="C209" t="s">
        <v>931</v>
      </c>
      <c r="D209">
        <v>4903</v>
      </c>
      <c r="E209" t="str">
        <f>"060202203"</f>
        <v>060202203</v>
      </c>
      <c r="F209" t="s">
        <v>940</v>
      </c>
      <c r="G209" t="s">
        <v>42</v>
      </c>
      <c r="H209" t="s">
        <v>932</v>
      </c>
      <c r="I209" t="s">
        <v>933</v>
      </c>
      <c r="J209" t="s">
        <v>315</v>
      </c>
      <c r="K209" t="str">
        <f>"9282150064"</f>
        <v>9282150064</v>
      </c>
      <c r="L209" t="str">
        <f>""</f>
        <v/>
      </c>
      <c r="M209" t="str">
        <f>"9283592807"</f>
        <v>9283592807</v>
      </c>
      <c r="N209" t="str">
        <f>""</f>
        <v/>
      </c>
      <c r="O209" t="s">
        <v>934</v>
      </c>
      <c r="P209" t="s">
        <v>935</v>
      </c>
      <c r="R209" t="s">
        <v>936</v>
      </c>
      <c r="S209" t="s">
        <v>36</v>
      </c>
      <c r="T209" t="str">
        <f>"85534"</f>
        <v>85534</v>
      </c>
      <c r="U209" t="str">
        <f>""</f>
        <v/>
      </c>
      <c r="V209" t="s">
        <v>941</v>
      </c>
      <c r="X209" t="s">
        <v>936</v>
      </c>
      <c r="Y209" t="s">
        <v>36</v>
      </c>
      <c r="Z209" t="str">
        <f>"85534"</f>
        <v>85534</v>
      </c>
      <c r="AA209" t="str">
        <f>""</f>
        <v/>
      </c>
      <c r="AB209" t="s">
        <v>217</v>
      </c>
    </row>
    <row r="210" spans="1:28" x14ac:dyDescent="0.25">
      <c r="A210">
        <v>4230</v>
      </c>
      <c r="B210" t="str">
        <f>"060218000"</f>
        <v>060218000</v>
      </c>
      <c r="C210" t="s">
        <v>942</v>
      </c>
      <c r="D210">
        <v>0</v>
      </c>
      <c r="E210" t="str">
        <f>""</f>
        <v/>
      </c>
      <c r="G210" t="s">
        <v>29</v>
      </c>
      <c r="H210" t="s">
        <v>943</v>
      </c>
      <c r="I210" t="s">
        <v>944</v>
      </c>
      <c r="J210" t="s">
        <v>315</v>
      </c>
      <c r="K210" t="str">
        <f>"9288657219"</f>
        <v>9288657219</v>
      </c>
      <c r="L210" t="str">
        <f>""</f>
        <v/>
      </c>
      <c r="M210" t="str">
        <f>"9288653130"</f>
        <v>9288653130</v>
      </c>
      <c r="N210" t="str">
        <f>""</f>
        <v/>
      </c>
      <c r="O210" t="s">
        <v>945</v>
      </c>
      <c r="P210" t="s">
        <v>946</v>
      </c>
      <c r="R210" t="s">
        <v>947</v>
      </c>
      <c r="S210" t="s">
        <v>36</v>
      </c>
      <c r="T210" t="str">
        <f>"85540"</f>
        <v>85540</v>
      </c>
      <c r="U210" t="str">
        <f>""</f>
        <v/>
      </c>
      <c r="V210" t="s">
        <v>948</v>
      </c>
      <c r="X210" t="s">
        <v>947</v>
      </c>
      <c r="Y210" t="s">
        <v>36</v>
      </c>
      <c r="Z210" t="str">
        <f>"85540"</f>
        <v>85540</v>
      </c>
      <c r="AA210" t="str">
        <f>""</f>
        <v/>
      </c>
      <c r="AB210" t="s">
        <v>40</v>
      </c>
    </row>
    <row r="211" spans="1:28" x14ac:dyDescent="0.25">
      <c r="A211">
        <v>4230</v>
      </c>
      <c r="B211" t="str">
        <f>"060218000"</f>
        <v>060218000</v>
      </c>
      <c r="C211" t="s">
        <v>942</v>
      </c>
      <c r="D211">
        <v>4906</v>
      </c>
      <c r="E211" t="str">
        <f>"060218002"</f>
        <v>060218002</v>
      </c>
      <c r="F211" t="s">
        <v>949</v>
      </c>
      <c r="G211" t="s">
        <v>42</v>
      </c>
      <c r="H211" t="s">
        <v>943</v>
      </c>
      <c r="I211" t="s">
        <v>944</v>
      </c>
      <c r="J211" t="s">
        <v>315</v>
      </c>
      <c r="K211" t="str">
        <f>"9288657219"</f>
        <v>9288657219</v>
      </c>
      <c r="L211" t="str">
        <f>""</f>
        <v/>
      </c>
      <c r="M211" t="str">
        <f>"9288653130"</f>
        <v>9288653130</v>
      </c>
      <c r="N211" t="str">
        <f>""</f>
        <v/>
      </c>
      <c r="O211" t="s">
        <v>950</v>
      </c>
      <c r="P211" t="s">
        <v>946</v>
      </c>
      <c r="R211" t="s">
        <v>947</v>
      </c>
      <c r="S211" t="s">
        <v>36</v>
      </c>
      <c r="T211" t="str">
        <f>"85540"</f>
        <v>85540</v>
      </c>
      <c r="U211" t="str">
        <f>""</f>
        <v/>
      </c>
      <c r="V211" t="s">
        <v>951</v>
      </c>
      <c r="W211" t="s">
        <v>952</v>
      </c>
      <c r="X211" t="s">
        <v>947</v>
      </c>
      <c r="Y211" t="s">
        <v>36</v>
      </c>
      <c r="Z211" t="str">
        <f>"85540"</f>
        <v>85540</v>
      </c>
      <c r="AA211" t="str">
        <f>""</f>
        <v/>
      </c>
      <c r="AB211" t="s">
        <v>40</v>
      </c>
    </row>
    <row r="212" spans="1:28" x14ac:dyDescent="0.25">
      <c r="A212">
        <v>4230</v>
      </c>
      <c r="B212" t="str">
        <f>"060218000"</f>
        <v>060218000</v>
      </c>
      <c r="C212" t="s">
        <v>942</v>
      </c>
      <c r="D212">
        <v>4907</v>
      </c>
      <c r="E212" t="str">
        <f>"060218101"</f>
        <v>060218101</v>
      </c>
      <c r="F212" t="s">
        <v>953</v>
      </c>
      <c r="G212" t="s">
        <v>42</v>
      </c>
      <c r="H212" t="s">
        <v>943</v>
      </c>
      <c r="I212" t="s">
        <v>944</v>
      </c>
      <c r="J212" t="s">
        <v>315</v>
      </c>
      <c r="K212" t="str">
        <f>"9288657219"</f>
        <v>9288657219</v>
      </c>
      <c r="L212" t="str">
        <f>""</f>
        <v/>
      </c>
      <c r="M212" t="str">
        <f>"9288653130"</f>
        <v>9288653130</v>
      </c>
      <c r="N212" t="str">
        <f>""</f>
        <v/>
      </c>
      <c r="O212" t="s">
        <v>950</v>
      </c>
      <c r="P212" t="s">
        <v>946</v>
      </c>
      <c r="R212" t="s">
        <v>947</v>
      </c>
      <c r="S212" t="s">
        <v>36</v>
      </c>
      <c r="T212" t="str">
        <f>"85540"</f>
        <v>85540</v>
      </c>
      <c r="U212" t="str">
        <f>""</f>
        <v/>
      </c>
      <c r="V212" t="s">
        <v>954</v>
      </c>
      <c r="X212" t="s">
        <v>947</v>
      </c>
      <c r="Y212" t="s">
        <v>36</v>
      </c>
      <c r="Z212" t="str">
        <f>"85540"</f>
        <v>85540</v>
      </c>
      <c r="AA212" t="str">
        <f>""</f>
        <v/>
      </c>
      <c r="AB212" t="s">
        <v>40</v>
      </c>
    </row>
    <row r="213" spans="1:28" x14ac:dyDescent="0.25">
      <c r="A213">
        <v>4230</v>
      </c>
      <c r="B213" t="str">
        <f>"060218000"</f>
        <v>060218000</v>
      </c>
      <c r="C213" t="s">
        <v>942</v>
      </c>
      <c r="D213">
        <v>92081</v>
      </c>
      <c r="E213" t="str">
        <f>"060218102"</f>
        <v>060218102</v>
      </c>
      <c r="F213" t="s">
        <v>955</v>
      </c>
      <c r="G213" t="s">
        <v>42</v>
      </c>
      <c r="H213" t="s">
        <v>943</v>
      </c>
      <c r="I213" t="s">
        <v>944</v>
      </c>
      <c r="J213" t="s">
        <v>315</v>
      </c>
      <c r="K213" t="str">
        <f>"9288657219"</f>
        <v>9288657219</v>
      </c>
      <c r="L213" t="str">
        <f>""</f>
        <v/>
      </c>
      <c r="M213" t="str">
        <f>"9288653130"</f>
        <v>9288653130</v>
      </c>
      <c r="N213" t="str">
        <f>""</f>
        <v/>
      </c>
      <c r="O213" t="s">
        <v>945</v>
      </c>
      <c r="P213" t="s">
        <v>956</v>
      </c>
      <c r="R213" t="s">
        <v>947</v>
      </c>
      <c r="S213" t="s">
        <v>36</v>
      </c>
      <c r="T213" t="str">
        <f>"85540"</f>
        <v>85540</v>
      </c>
      <c r="U213" t="str">
        <f>""</f>
        <v/>
      </c>
      <c r="V213" t="s">
        <v>957</v>
      </c>
      <c r="X213" t="s">
        <v>947</v>
      </c>
      <c r="Y213" t="s">
        <v>36</v>
      </c>
      <c r="Z213" t="str">
        <f>"85540"</f>
        <v>85540</v>
      </c>
      <c r="AA213" t="str">
        <f>""</f>
        <v/>
      </c>
      <c r="AB213" t="s">
        <v>40</v>
      </c>
    </row>
    <row r="214" spans="1:28" x14ac:dyDescent="0.25">
      <c r="A214">
        <v>4234</v>
      </c>
      <c r="B214" t="str">
        <f>"070199000"</f>
        <v>070199000</v>
      </c>
      <c r="C214" t="s">
        <v>958</v>
      </c>
      <c r="D214">
        <v>0</v>
      </c>
      <c r="E214" t="str">
        <f>""</f>
        <v/>
      </c>
      <c r="G214" t="s">
        <v>29</v>
      </c>
      <c r="H214" t="s">
        <v>959</v>
      </c>
      <c r="I214" t="s">
        <v>960</v>
      </c>
      <c r="J214" t="s">
        <v>961</v>
      </c>
      <c r="K214" t="str">
        <f>"6024229037"</f>
        <v>6024229037</v>
      </c>
      <c r="L214" t="str">
        <f>""</f>
        <v/>
      </c>
      <c r="M214" t="str">
        <f>"6024524720"</f>
        <v>6024524720</v>
      </c>
      <c r="N214" t="str">
        <f>""</f>
        <v/>
      </c>
      <c r="O214" t="s">
        <v>962</v>
      </c>
      <c r="P214" t="s">
        <v>963</v>
      </c>
      <c r="R214" t="s">
        <v>964</v>
      </c>
      <c r="S214" t="s">
        <v>36</v>
      </c>
      <c r="T214" t="str">
        <f>"85012"</f>
        <v>85012</v>
      </c>
      <c r="U214" t="str">
        <f>""</f>
        <v/>
      </c>
      <c r="V214" t="s">
        <v>963</v>
      </c>
      <c r="X214" t="s">
        <v>964</v>
      </c>
      <c r="Y214" t="s">
        <v>36</v>
      </c>
      <c r="Z214" t="str">
        <f>"85012"</f>
        <v>85012</v>
      </c>
      <c r="AA214" t="str">
        <f>""</f>
        <v/>
      </c>
      <c r="AB214" t="s">
        <v>282</v>
      </c>
    </row>
    <row r="215" spans="1:28" x14ac:dyDescent="0.25">
      <c r="A215">
        <v>4234</v>
      </c>
      <c r="B215" t="str">
        <f>"070199000"</f>
        <v>070199000</v>
      </c>
      <c r="C215" t="s">
        <v>958</v>
      </c>
      <c r="D215">
        <v>549878</v>
      </c>
      <c r="E215" t="str">
        <f>"070199009"</f>
        <v>070199009</v>
      </c>
      <c r="F215" t="s">
        <v>965</v>
      </c>
      <c r="G215" t="s">
        <v>42</v>
      </c>
      <c r="H215" t="s">
        <v>959</v>
      </c>
      <c r="I215" t="s">
        <v>960</v>
      </c>
      <c r="J215" t="s">
        <v>961</v>
      </c>
      <c r="K215" t="str">
        <f>"6024229037"</f>
        <v>6024229037</v>
      </c>
      <c r="L215" t="str">
        <f>""</f>
        <v/>
      </c>
      <c r="M215" t="str">
        <f>"6024524720"</f>
        <v>6024524720</v>
      </c>
      <c r="N215" t="str">
        <f>""</f>
        <v/>
      </c>
      <c r="O215" t="s">
        <v>962</v>
      </c>
      <c r="P215" t="s">
        <v>966</v>
      </c>
      <c r="R215" t="s">
        <v>967</v>
      </c>
      <c r="S215" t="s">
        <v>36</v>
      </c>
      <c r="T215" t="str">
        <f>"85281"</f>
        <v>85281</v>
      </c>
      <c r="U215" t="str">
        <f>""</f>
        <v/>
      </c>
      <c r="V215" t="s">
        <v>966</v>
      </c>
      <c r="X215" t="s">
        <v>967</v>
      </c>
      <c r="Y215" t="s">
        <v>36</v>
      </c>
      <c r="Z215" t="str">
        <f>"85281"</f>
        <v>85281</v>
      </c>
      <c r="AA215" t="str">
        <f>""</f>
        <v/>
      </c>
      <c r="AB215" t="s">
        <v>282</v>
      </c>
    </row>
    <row r="216" spans="1:28" x14ac:dyDescent="0.25">
      <c r="A216">
        <v>4234</v>
      </c>
      <c r="B216" t="str">
        <f>"070199000"</f>
        <v>070199000</v>
      </c>
      <c r="C216" t="s">
        <v>958</v>
      </c>
      <c r="D216">
        <v>969999</v>
      </c>
      <c r="E216" t="str">
        <f>"070199008"</f>
        <v>070199008</v>
      </c>
      <c r="F216" t="s">
        <v>968</v>
      </c>
      <c r="G216" t="s">
        <v>42</v>
      </c>
      <c r="H216" t="s">
        <v>969</v>
      </c>
      <c r="I216" t="s">
        <v>970</v>
      </c>
      <c r="J216" t="s">
        <v>971</v>
      </c>
      <c r="K216" t="str">
        <f>"6028194551"</f>
        <v>6028194551</v>
      </c>
      <c r="L216" t="str">
        <f>""</f>
        <v/>
      </c>
      <c r="M216" t="str">
        <f>""</f>
        <v/>
      </c>
      <c r="N216" t="str">
        <f>""</f>
        <v/>
      </c>
      <c r="O216" t="s">
        <v>972</v>
      </c>
      <c r="P216" t="s">
        <v>973</v>
      </c>
      <c r="R216" t="s">
        <v>964</v>
      </c>
      <c r="S216" t="s">
        <v>36</v>
      </c>
      <c r="T216" t="str">
        <f>"85042"</f>
        <v>85042</v>
      </c>
      <c r="U216" t="str">
        <f>""</f>
        <v/>
      </c>
      <c r="V216" t="s">
        <v>973</v>
      </c>
      <c r="X216" t="s">
        <v>964</v>
      </c>
      <c r="Y216" t="s">
        <v>36</v>
      </c>
      <c r="Z216" t="str">
        <f>"85042"</f>
        <v>85042</v>
      </c>
      <c r="AA216" t="str">
        <f>""</f>
        <v/>
      </c>
      <c r="AB216" t="s">
        <v>282</v>
      </c>
    </row>
    <row r="217" spans="1:28" x14ac:dyDescent="0.25">
      <c r="A217">
        <v>4235</v>
      </c>
      <c r="B217" t="str">
        <f t="shared" ref="B217:B248" si="39">"070204000"</f>
        <v>070204000</v>
      </c>
      <c r="C217" t="s">
        <v>974</v>
      </c>
      <c r="D217">
        <v>0</v>
      </c>
      <c r="E217" t="str">
        <f>""</f>
        <v/>
      </c>
      <c r="G217" t="s">
        <v>29</v>
      </c>
      <c r="H217" t="s">
        <v>975</v>
      </c>
      <c r="I217" t="s">
        <v>976</v>
      </c>
      <c r="J217" t="s">
        <v>202</v>
      </c>
      <c r="K217" t="str">
        <f t="shared" ref="K217:K248" si="40">"4804720909"</f>
        <v>4804720909</v>
      </c>
      <c r="L217" t="str">
        <f>""</f>
        <v/>
      </c>
      <c r="M217" t="str">
        <f t="shared" ref="M217:M227" si="41">"4804720992"</f>
        <v>4804720992</v>
      </c>
      <c r="N217" t="str">
        <f>""</f>
        <v/>
      </c>
      <c r="O217" t="s">
        <v>977</v>
      </c>
      <c r="P217" t="s">
        <v>978</v>
      </c>
      <c r="R217" t="s">
        <v>979</v>
      </c>
      <c r="S217" t="s">
        <v>36</v>
      </c>
      <c r="T217" t="str">
        <f t="shared" ref="T217:T248" si="42">"85210"</f>
        <v>85210</v>
      </c>
      <c r="U217" t="str">
        <f>"1090"</f>
        <v>1090</v>
      </c>
      <c r="V217" t="s">
        <v>978</v>
      </c>
      <c r="X217" t="s">
        <v>979</v>
      </c>
      <c r="Y217" t="s">
        <v>36</v>
      </c>
      <c r="Z217" t="str">
        <f>"85210"</f>
        <v>85210</v>
      </c>
      <c r="AA217" t="str">
        <f>"1090"</f>
        <v>1090</v>
      </c>
      <c r="AB217" t="s">
        <v>821</v>
      </c>
    </row>
    <row r="218" spans="1:28" x14ac:dyDescent="0.25">
      <c r="A218">
        <v>4235</v>
      </c>
      <c r="B218" t="str">
        <f t="shared" si="39"/>
        <v>070204000</v>
      </c>
      <c r="C218" t="s">
        <v>974</v>
      </c>
      <c r="D218">
        <v>4913</v>
      </c>
      <c r="E218" t="str">
        <f>"070204101"</f>
        <v>070204101</v>
      </c>
      <c r="F218" t="s">
        <v>980</v>
      </c>
      <c r="G218" t="s">
        <v>42</v>
      </c>
      <c r="H218" t="s">
        <v>975</v>
      </c>
      <c r="I218" t="s">
        <v>976</v>
      </c>
      <c r="J218" t="s">
        <v>202</v>
      </c>
      <c r="K218" t="str">
        <f t="shared" si="40"/>
        <v>4804720909</v>
      </c>
      <c r="L218" t="str">
        <f>""</f>
        <v/>
      </c>
      <c r="M218" t="str">
        <f t="shared" si="41"/>
        <v>4804720992</v>
      </c>
      <c r="N218" t="str">
        <f>""</f>
        <v/>
      </c>
      <c r="O218" t="s">
        <v>977</v>
      </c>
      <c r="P218" t="s">
        <v>978</v>
      </c>
      <c r="R218" t="s">
        <v>979</v>
      </c>
      <c r="S218" t="s">
        <v>36</v>
      </c>
      <c r="T218" t="str">
        <f t="shared" si="42"/>
        <v>85210</v>
      </c>
      <c r="U218" t="str">
        <f t="shared" ref="U218:U249" si="43">"1096"</f>
        <v>1096</v>
      </c>
      <c r="V218" t="s">
        <v>981</v>
      </c>
      <c r="X218" t="s">
        <v>979</v>
      </c>
      <c r="Y218" t="s">
        <v>36</v>
      </c>
      <c r="Z218" t="str">
        <f>"85202"</f>
        <v>85202</v>
      </c>
      <c r="AA218" t="str">
        <f>"1908"</f>
        <v>1908</v>
      </c>
      <c r="AB218" t="s">
        <v>821</v>
      </c>
    </row>
    <row r="219" spans="1:28" x14ac:dyDescent="0.25">
      <c r="A219">
        <v>4235</v>
      </c>
      <c r="B219" t="str">
        <f t="shared" si="39"/>
        <v>070204000</v>
      </c>
      <c r="C219" t="s">
        <v>974</v>
      </c>
      <c r="D219">
        <v>4915</v>
      </c>
      <c r="E219" t="str">
        <f>"070204103"</f>
        <v>070204103</v>
      </c>
      <c r="F219" t="s">
        <v>982</v>
      </c>
      <c r="G219" t="s">
        <v>42</v>
      </c>
      <c r="H219" t="s">
        <v>975</v>
      </c>
      <c r="I219" t="s">
        <v>976</v>
      </c>
      <c r="J219" t="s">
        <v>202</v>
      </c>
      <c r="K219" t="str">
        <f t="shared" si="40"/>
        <v>4804720909</v>
      </c>
      <c r="L219" t="str">
        <f>""</f>
        <v/>
      </c>
      <c r="M219" t="str">
        <f t="shared" si="41"/>
        <v>4804720992</v>
      </c>
      <c r="N219" t="str">
        <f>""</f>
        <v/>
      </c>
      <c r="O219" t="s">
        <v>977</v>
      </c>
      <c r="P219" t="s">
        <v>978</v>
      </c>
      <c r="R219" t="s">
        <v>979</v>
      </c>
      <c r="S219" t="s">
        <v>36</v>
      </c>
      <c r="T219" t="str">
        <f t="shared" si="42"/>
        <v>85210</v>
      </c>
      <c r="U219" t="str">
        <f t="shared" si="43"/>
        <v>1096</v>
      </c>
      <c r="V219" t="s">
        <v>983</v>
      </c>
      <c r="X219" t="s">
        <v>979</v>
      </c>
      <c r="Y219" t="s">
        <v>36</v>
      </c>
      <c r="Z219" t="str">
        <f>"85203"</f>
        <v>85203</v>
      </c>
      <c r="AA219" t="str">
        <f>"7124"</f>
        <v>7124</v>
      </c>
      <c r="AB219" t="s">
        <v>821</v>
      </c>
    </row>
    <row r="220" spans="1:28" x14ac:dyDescent="0.25">
      <c r="A220">
        <v>4235</v>
      </c>
      <c r="B220" t="str">
        <f t="shared" si="39"/>
        <v>070204000</v>
      </c>
      <c r="C220" t="s">
        <v>974</v>
      </c>
      <c r="D220">
        <v>4916</v>
      </c>
      <c r="E220" t="str">
        <f>"070204104"</f>
        <v>070204104</v>
      </c>
      <c r="F220" t="s">
        <v>984</v>
      </c>
      <c r="G220" t="s">
        <v>42</v>
      </c>
      <c r="H220" t="s">
        <v>975</v>
      </c>
      <c r="I220" t="s">
        <v>976</v>
      </c>
      <c r="J220" t="s">
        <v>202</v>
      </c>
      <c r="K220" t="str">
        <f t="shared" si="40"/>
        <v>4804720909</v>
      </c>
      <c r="L220" t="str">
        <f>""</f>
        <v/>
      </c>
      <c r="M220" t="str">
        <f t="shared" si="41"/>
        <v>4804720992</v>
      </c>
      <c r="N220" t="str">
        <f>""</f>
        <v/>
      </c>
      <c r="O220" t="s">
        <v>977</v>
      </c>
      <c r="P220" t="s">
        <v>985</v>
      </c>
      <c r="R220" t="s">
        <v>979</v>
      </c>
      <c r="S220" t="s">
        <v>36</v>
      </c>
      <c r="T220" t="str">
        <f t="shared" si="42"/>
        <v>85210</v>
      </c>
      <c r="U220" t="str">
        <f t="shared" si="43"/>
        <v>1096</v>
      </c>
      <c r="V220" t="s">
        <v>986</v>
      </c>
      <c r="X220" t="s">
        <v>979</v>
      </c>
      <c r="Y220" t="s">
        <v>36</v>
      </c>
      <c r="Z220" t="str">
        <f>"85201"</f>
        <v>85201</v>
      </c>
      <c r="AA220" t="str">
        <f>"5530"</f>
        <v>5530</v>
      </c>
      <c r="AB220" t="s">
        <v>821</v>
      </c>
    </row>
    <row r="221" spans="1:28" x14ac:dyDescent="0.25">
      <c r="A221">
        <v>4235</v>
      </c>
      <c r="B221" t="str">
        <f t="shared" si="39"/>
        <v>070204000</v>
      </c>
      <c r="C221" t="s">
        <v>974</v>
      </c>
      <c r="D221">
        <v>4917</v>
      </c>
      <c r="E221" t="str">
        <f>"070204105"</f>
        <v>070204105</v>
      </c>
      <c r="F221" t="s">
        <v>987</v>
      </c>
      <c r="G221" t="s">
        <v>42</v>
      </c>
      <c r="H221" t="s">
        <v>975</v>
      </c>
      <c r="I221" t="s">
        <v>976</v>
      </c>
      <c r="J221" t="s">
        <v>202</v>
      </c>
      <c r="K221" t="str">
        <f t="shared" si="40"/>
        <v>4804720909</v>
      </c>
      <c r="L221" t="str">
        <f>""</f>
        <v/>
      </c>
      <c r="M221" t="str">
        <f t="shared" si="41"/>
        <v>4804720992</v>
      </c>
      <c r="N221" t="str">
        <f>""</f>
        <v/>
      </c>
      <c r="O221" t="s">
        <v>977</v>
      </c>
      <c r="P221" t="s">
        <v>978</v>
      </c>
      <c r="R221" t="s">
        <v>979</v>
      </c>
      <c r="S221" t="s">
        <v>36</v>
      </c>
      <c r="T221" t="str">
        <f t="shared" si="42"/>
        <v>85210</v>
      </c>
      <c r="U221" t="str">
        <f t="shared" si="43"/>
        <v>1096</v>
      </c>
      <c r="V221" t="s">
        <v>988</v>
      </c>
      <c r="X221" t="s">
        <v>979</v>
      </c>
      <c r="Y221" t="s">
        <v>36</v>
      </c>
      <c r="Z221" t="str">
        <f>"85204"</f>
        <v>85204</v>
      </c>
      <c r="AA221" t="str">
        <f>"3617"</f>
        <v>3617</v>
      </c>
      <c r="AB221" t="s">
        <v>821</v>
      </c>
    </row>
    <row r="222" spans="1:28" x14ac:dyDescent="0.25">
      <c r="A222">
        <v>4235</v>
      </c>
      <c r="B222" t="str">
        <f t="shared" si="39"/>
        <v>070204000</v>
      </c>
      <c r="C222" t="s">
        <v>974</v>
      </c>
      <c r="D222">
        <v>4918</v>
      </c>
      <c r="E222" t="str">
        <f>"070204106"</f>
        <v>070204106</v>
      </c>
      <c r="F222" t="s">
        <v>989</v>
      </c>
      <c r="G222" t="s">
        <v>42</v>
      </c>
      <c r="H222" t="s">
        <v>975</v>
      </c>
      <c r="I222" t="s">
        <v>976</v>
      </c>
      <c r="J222" t="s">
        <v>202</v>
      </c>
      <c r="K222" t="str">
        <f t="shared" si="40"/>
        <v>4804720909</v>
      </c>
      <c r="L222" t="str">
        <f>""</f>
        <v/>
      </c>
      <c r="M222" t="str">
        <f t="shared" si="41"/>
        <v>4804720992</v>
      </c>
      <c r="N222" t="str">
        <f>""</f>
        <v/>
      </c>
      <c r="O222" t="s">
        <v>977</v>
      </c>
      <c r="P222" t="s">
        <v>978</v>
      </c>
      <c r="R222" t="s">
        <v>979</v>
      </c>
      <c r="S222" t="s">
        <v>36</v>
      </c>
      <c r="T222" t="str">
        <f t="shared" si="42"/>
        <v>85210</v>
      </c>
      <c r="U222" t="str">
        <f t="shared" si="43"/>
        <v>1096</v>
      </c>
      <c r="V222" t="s">
        <v>990</v>
      </c>
      <c r="X222" t="s">
        <v>979</v>
      </c>
      <c r="Y222" t="s">
        <v>36</v>
      </c>
      <c r="Z222" t="str">
        <f>"85203"</f>
        <v>85203</v>
      </c>
      <c r="AA222" t="str">
        <f>"6533"</f>
        <v>6533</v>
      </c>
      <c r="AB222" t="s">
        <v>821</v>
      </c>
    </row>
    <row r="223" spans="1:28" x14ac:dyDescent="0.25">
      <c r="A223">
        <v>4235</v>
      </c>
      <c r="B223" t="str">
        <f t="shared" si="39"/>
        <v>070204000</v>
      </c>
      <c r="C223" t="s">
        <v>974</v>
      </c>
      <c r="D223">
        <v>4919</v>
      </c>
      <c r="E223" t="str">
        <f>"070204107"</f>
        <v>070204107</v>
      </c>
      <c r="F223" t="s">
        <v>991</v>
      </c>
      <c r="G223" t="s">
        <v>42</v>
      </c>
      <c r="H223" t="s">
        <v>975</v>
      </c>
      <c r="I223" t="s">
        <v>976</v>
      </c>
      <c r="J223" t="s">
        <v>202</v>
      </c>
      <c r="K223" t="str">
        <f t="shared" si="40"/>
        <v>4804720909</v>
      </c>
      <c r="L223" t="str">
        <f>""</f>
        <v/>
      </c>
      <c r="M223" t="str">
        <f t="shared" si="41"/>
        <v>4804720992</v>
      </c>
      <c r="N223" t="str">
        <f>""</f>
        <v/>
      </c>
      <c r="O223" t="s">
        <v>977</v>
      </c>
      <c r="P223" t="s">
        <v>978</v>
      </c>
      <c r="R223" t="s">
        <v>979</v>
      </c>
      <c r="S223" t="s">
        <v>36</v>
      </c>
      <c r="T223" t="str">
        <f t="shared" si="42"/>
        <v>85210</v>
      </c>
      <c r="U223" t="str">
        <f t="shared" si="43"/>
        <v>1096</v>
      </c>
      <c r="V223" t="s">
        <v>992</v>
      </c>
      <c r="X223" t="s">
        <v>979</v>
      </c>
      <c r="Y223" t="s">
        <v>36</v>
      </c>
      <c r="Z223" t="str">
        <f>"85204"</f>
        <v>85204</v>
      </c>
      <c r="AA223" t="str">
        <f>"4122"</f>
        <v>4122</v>
      </c>
      <c r="AB223" t="s">
        <v>821</v>
      </c>
    </row>
    <row r="224" spans="1:28" x14ac:dyDescent="0.25">
      <c r="A224">
        <v>4235</v>
      </c>
      <c r="B224" t="str">
        <f t="shared" si="39"/>
        <v>070204000</v>
      </c>
      <c r="C224" t="s">
        <v>974</v>
      </c>
      <c r="D224">
        <v>4920</v>
      </c>
      <c r="E224" t="str">
        <f>"070204108"</f>
        <v>070204108</v>
      </c>
      <c r="F224" t="s">
        <v>993</v>
      </c>
      <c r="G224" t="s">
        <v>42</v>
      </c>
      <c r="H224" t="s">
        <v>975</v>
      </c>
      <c r="I224" t="s">
        <v>976</v>
      </c>
      <c r="J224" t="s">
        <v>202</v>
      </c>
      <c r="K224" t="str">
        <f t="shared" si="40"/>
        <v>4804720909</v>
      </c>
      <c r="L224" t="str">
        <f>""</f>
        <v/>
      </c>
      <c r="M224" t="str">
        <f t="shared" si="41"/>
        <v>4804720992</v>
      </c>
      <c r="N224" t="str">
        <f>""</f>
        <v/>
      </c>
      <c r="O224" t="s">
        <v>977</v>
      </c>
      <c r="P224" t="s">
        <v>978</v>
      </c>
      <c r="R224" t="s">
        <v>979</v>
      </c>
      <c r="S224" t="s">
        <v>36</v>
      </c>
      <c r="T224" t="str">
        <f t="shared" si="42"/>
        <v>85210</v>
      </c>
      <c r="U224" t="str">
        <f t="shared" si="43"/>
        <v>1096</v>
      </c>
      <c r="V224" t="s">
        <v>994</v>
      </c>
      <c r="X224" t="s">
        <v>979</v>
      </c>
      <c r="Y224" t="s">
        <v>36</v>
      </c>
      <c r="Z224" t="str">
        <f>"85204"</f>
        <v>85204</v>
      </c>
      <c r="AA224" t="str">
        <f>"4028"</f>
        <v>4028</v>
      </c>
      <c r="AB224" t="s">
        <v>821</v>
      </c>
    </row>
    <row r="225" spans="1:28" x14ac:dyDescent="0.25">
      <c r="A225">
        <v>4235</v>
      </c>
      <c r="B225" t="str">
        <f t="shared" si="39"/>
        <v>070204000</v>
      </c>
      <c r="C225" t="s">
        <v>974</v>
      </c>
      <c r="D225">
        <v>4921</v>
      </c>
      <c r="E225" t="str">
        <f>"070204109"</f>
        <v>070204109</v>
      </c>
      <c r="F225" t="s">
        <v>995</v>
      </c>
      <c r="G225" t="s">
        <v>42</v>
      </c>
      <c r="H225" t="s">
        <v>975</v>
      </c>
      <c r="I225" t="s">
        <v>976</v>
      </c>
      <c r="J225" t="s">
        <v>202</v>
      </c>
      <c r="K225" t="str">
        <f t="shared" si="40"/>
        <v>4804720909</v>
      </c>
      <c r="L225" t="str">
        <f>""</f>
        <v/>
      </c>
      <c r="M225" t="str">
        <f t="shared" si="41"/>
        <v>4804720992</v>
      </c>
      <c r="N225" t="str">
        <f>""</f>
        <v/>
      </c>
      <c r="O225" t="s">
        <v>977</v>
      </c>
      <c r="P225" t="s">
        <v>978</v>
      </c>
      <c r="R225" t="s">
        <v>979</v>
      </c>
      <c r="S225" t="s">
        <v>36</v>
      </c>
      <c r="T225" t="str">
        <f t="shared" si="42"/>
        <v>85210</v>
      </c>
      <c r="U225" t="str">
        <f t="shared" si="43"/>
        <v>1096</v>
      </c>
      <c r="V225" t="s">
        <v>996</v>
      </c>
      <c r="X225" t="s">
        <v>979</v>
      </c>
      <c r="Y225" t="s">
        <v>36</v>
      </c>
      <c r="Z225" t="str">
        <f>"85208"</f>
        <v>85208</v>
      </c>
      <c r="AA225" t="str">
        <f>"1018"</f>
        <v>1018</v>
      </c>
      <c r="AB225" t="s">
        <v>821</v>
      </c>
    </row>
    <row r="226" spans="1:28" x14ac:dyDescent="0.25">
      <c r="A226">
        <v>4235</v>
      </c>
      <c r="B226" t="str">
        <f t="shared" si="39"/>
        <v>070204000</v>
      </c>
      <c r="C226" t="s">
        <v>974</v>
      </c>
      <c r="D226">
        <v>4922</v>
      </c>
      <c r="E226" t="str">
        <f>"070204110"</f>
        <v>070204110</v>
      </c>
      <c r="F226" t="s">
        <v>997</v>
      </c>
      <c r="G226" t="s">
        <v>42</v>
      </c>
      <c r="H226" t="s">
        <v>975</v>
      </c>
      <c r="I226" t="s">
        <v>976</v>
      </c>
      <c r="J226" t="s">
        <v>202</v>
      </c>
      <c r="K226" t="str">
        <f t="shared" si="40"/>
        <v>4804720909</v>
      </c>
      <c r="L226" t="str">
        <f>""</f>
        <v/>
      </c>
      <c r="M226" t="str">
        <f t="shared" si="41"/>
        <v>4804720992</v>
      </c>
      <c r="N226" t="str">
        <f>""</f>
        <v/>
      </c>
      <c r="O226" t="s">
        <v>977</v>
      </c>
      <c r="P226" t="s">
        <v>978</v>
      </c>
      <c r="R226" t="s">
        <v>979</v>
      </c>
      <c r="S226" t="s">
        <v>36</v>
      </c>
      <c r="T226" t="str">
        <f t="shared" si="42"/>
        <v>85210</v>
      </c>
      <c r="U226" t="str">
        <f t="shared" si="43"/>
        <v>1096</v>
      </c>
      <c r="V226" t="s">
        <v>998</v>
      </c>
      <c r="X226" t="s">
        <v>979</v>
      </c>
      <c r="Y226" t="s">
        <v>36</v>
      </c>
      <c r="Z226" t="str">
        <f>"85203"</f>
        <v>85203</v>
      </c>
      <c r="AA226" t="str">
        <f>"1127"</f>
        <v>1127</v>
      </c>
      <c r="AB226" t="s">
        <v>821</v>
      </c>
    </row>
    <row r="227" spans="1:28" x14ac:dyDescent="0.25">
      <c r="A227">
        <v>4235</v>
      </c>
      <c r="B227" t="str">
        <f t="shared" si="39"/>
        <v>070204000</v>
      </c>
      <c r="C227" t="s">
        <v>974</v>
      </c>
      <c r="D227">
        <v>4923</v>
      </c>
      <c r="E227" t="str">
        <f>"070204111"</f>
        <v>070204111</v>
      </c>
      <c r="F227" t="s">
        <v>999</v>
      </c>
      <c r="G227" t="s">
        <v>42</v>
      </c>
      <c r="H227" t="s">
        <v>975</v>
      </c>
      <c r="I227" t="s">
        <v>976</v>
      </c>
      <c r="J227" t="s">
        <v>202</v>
      </c>
      <c r="K227" t="str">
        <f t="shared" si="40"/>
        <v>4804720909</v>
      </c>
      <c r="L227" t="str">
        <f>""</f>
        <v/>
      </c>
      <c r="M227" t="str">
        <f t="shared" si="41"/>
        <v>4804720992</v>
      </c>
      <c r="N227" t="str">
        <f>""</f>
        <v/>
      </c>
      <c r="O227" t="s">
        <v>977</v>
      </c>
      <c r="P227" t="s">
        <v>978</v>
      </c>
      <c r="R227" t="s">
        <v>979</v>
      </c>
      <c r="S227" t="s">
        <v>36</v>
      </c>
      <c r="T227" t="str">
        <f t="shared" si="42"/>
        <v>85210</v>
      </c>
      <c r="U227" t="str">
        <f t="shared" si="43"/>
        <v>1096</v>
      </c>
      <c r="V227" t="s">
        <v>1000</v>
      </c>
      <c r="X227" t="s">
        <v>979</v>
      </c>
      <c r="Y227" t="s">
        <v>36</v>
      </c>
      <c r="Z227" t="str">
        <f>"85210"</f>
        <v>85210</v>
      </c>
      <c r="AA227" t="str">
        <f>"3736"</f>
        <v>3736</v>
      </c>
      <c r="AB227" t="s">
        <v>821</v>
      </c>
    </row>
    <row r="228" spans="1:28" x14ac:dyDescent="0.25">
      <c r="A228">
        <v>4235</v>
      </c>
      <c r="B228" t="str">
        <f t="shared" si="39"/>
        <v>070204000</v>
      </c>
      <c r="C228" t="s">
        <v>974</v>
      </c>
      <c r="D228">
        <v>4924</v>
      </c>
      <c r="E228" t="str">
        <f>"070204112"</f>
        <v>070204112</v>
      </c>
      <c r="F228" t="s">
        <v>1001</v>
      </c>
      <c r="G228" t="s">
        <v>42</v>
      </c>
      <c r="H228" t="s">
        <v>975</v>
      </c>
      <c r="I228" t="s">
        <v>976</v>
      </c>
      <c r="J228" t="s">
        <v>202</v>
      </c>
      <c r="K228" t="str">
        <f t="shared" si="40"/>
        <v>4804720909</v>
      </c>
      <c r="L228" t="str">
        <f>""</f>
        <v/>
      </c>
      <c r="M228" t="str">
        <f>"4804740992"</f>
        <v>4804740992</v>
      </c>
      <c r="N228" t="str">
        <f>""</f>
        <v/>
      </c>
      <c r="O228" t="s">
        <v>977</v>
      </c>
      <c r="P228" t="s">
        <v>1002</v>
      </c>
      <c r="R228" t="s">
        <v>979</v>
      </c>
      <c r="S228" t="s">
        <v>36</v>
      </c>
      <c r="T228" t="str">
        <f t="shared" si="42"/>
        <v>85210</v>
      </c>
      <c r="U228" t="str">
        <f t="shared" si="43"/>
        <v>1096</v>
      </c>
      <c r="V228" t="s">
        <v>1003</v>
      </c>
      <c r="X228" t="s">
        <v>979</v>
      </c>
      <c r="Y228" t="s">
        <v>36</v>
      </c>
      <c r="Z228" t="str">
        <f>"85204"</f>
        <v>85204</v>
      </c>
      <c r="AA228" t="str">
        <f>"2409"</f>
        <v>2409</v>
      </c>
      <c r="AB228" t="s">
        <v>821</v>
      </c>
    </row>
    <row r="229" spans="1:28" x14ac:dyDescent="0.25">
      <c r="A229">
        <v>4235</v>
      </c>
      <c r="B229" t="str">
        <f t="shared" si="39"/>
        <v>070204000</v>
      </c>
      <c r="C229" t="s">
        <v>974</v>
      </c>
      <c r="D229">
        <v>4925</v>
      </c>
      <c r="E229" t="str">
        <f>"070204113"</f>
        <v>070204113</v>
      </c>
      <c r="F229" t="s">
        <v>1004</v>
      </c>
      <c r="G229" t="s">
        <v>42</v>
      </c>
      <c r="H229" t="s">
        <v>975</v>
      </c>
      <c r="I229" t="s">
        <v>976</v>
      </c>
      <c r="J229" t="s">
        <v>202</v>
      </c>
      <c r="K229" t="str">
        <f t="shared" si="40"/>
        <v>4804720909</v>
      </c>
      <c r="L229" t="str">
        <f>""</f>
        <v/>
      </c>
      <c r="M229" t="str">
        <f t="shared" ref="M229:M260" si="44">"4804720992"</f>
        <v>4804720992</v>
      </c>
      <c r="N229" t="str">
        <f>""</f>
        <v/>
      </c>
      <c r="O229" t="s">
        <v>977</v>
      </c>
      <c r="P229" t="s">
        <v>978</v>
      </c>
      <c r="R229" t="s">
        <v>979</v>
      </c>
      <c r="S229" t="s">
        <v>36</v>
      </c>
      <c r="T229" t="str">
        <f t="shared" si="42"/>
        <v>85210</v>
      </c>
      <c r="U229" t="str">
        <f t="shared" si="43"/>
        <v>1096</v>
      </c>
      <c r="V229" t="s">
        <v>1005</v>
      </c>
      <c r="X229" t="s">
        <v>979</v>
      </c>
      <c r="Y229" t="s">
        <v>36</v>
      </c>
      <c r="Z229" t="str">
        <f>"85204"</f>
        <v>85204</v>
      </c>
      <c r="AA229" t="str">
        <f>"2107"</f>
        <v>2107</v>
      </c>
      <c r="AB229" t="s">
        <v>821</v>
      </c>
    </row>
    <row r="230" spans="1:28" x14ac:dyDescent="0.25">
      <c r="A230">
        <v>4235</v>
      </c>
      <c r="B230" t="str">
        <f t="shared" si="39"/>
        <v>070204000</v>
      </c>
      <c r="C230" t="s">
        <v>974</v>
      </c>
      <c r="D230">
        <v>4926</v>
      </c>
      <c r="E230" t="str">
        <f>"070204114"</f>
        <v>070204114</v>
      </c>
      <c r="F230" t="s">
        <v>1006</v>
      </c>
      <c r="G230" t="s">
        <v>42</v>
      </c>
      <c r="H230" t="s">
        <v>975</v>
      </c>
      <c r="I230" t="s">
        <v>976</v>
      </c>
      <c r="J230" t="s">
        <v>202</v>
      </c>
      <c r="K230" t="str">
        <f t="shared" si="40"/>
        <v>4804720909</v>
      </c>
      <c r="L230" t="str">
        <f>""</f>
        <v/>
      </c>
      <c r="M230" t="str">
        <f t="shared" si="44"/>
        <v>4804720992</v>
      </c>
      <c r="N230" t="str">
        <f>""</f>
        <v/>
      </c>
      <c r="O230" t="s">
        <v>977</v>
      </c>
      <c r="P230" t="s">
        <v>978</v>
      </c>
      <c r="R230" t="s">
        <v>979</v>
      </c>
      <c r="S230" t="s">
        <v>36</v>
      </c>
      <c r="T230" t="str">
        <f t="shared" si="42"/>
        <v>85210</v>
      </c>
      <c r="U230" t="str">
        <f t="shared" si="43"/>
        <v>1096</v>
      </c>
      <c r="V230" t="s">
        <v>1007</v>
      </c>
      <c r="X230" t="s">
        <v>979</v>
      </c>
      <c r="Y230" t="s">
        <v>36</v>
      </c>
      <c r="Z230" t="str">
        <f>"85210"</f>
        <v>85210</v>
      </c>
      <c r="AA230" t="str">
        <f>"1611"</f>
        <v>1611</v>
      </c>
      <c r="AB230" t="s">
        <v>821</v>
      </c>
    </row>
    <row r="231" spans="1:28" x14ac:dyDescent="0.25">
      <c r="A231">
        <v>4235</v>
      </c>
      <c r="B231" t="str">
        <f t="shared" si="39"/>
        <v>070204000</v>
      </c>
      <c r="C231" t="s">
        <v>974</v>
      </c>
      <c r="D231">
        <v>4927</v>
      </c>
      <c r="E231" t="str">
        <f>"070204115"</f>
        <v>070204115</v>
      </c>
      <c r="F231" t="s">
        <v>1008</v>
      </c>
      <c r="G231" t="s">
        <v>42</v>
      </c>
      <c r="H231" t="s">
        <v>975</v>
      </c>
      <c r="I231" t="s">
        <v>976</v>
      </c>
      <c r="J231" t="s">
        <v>202</v>
      </c>
      <c r="K231" t="str">
        <f t="shared" si="40"/>
        <v>4804720909</v>
      </c>
      <c r="L231" t="str">
        <f>""</f>
        <v/>
      </c>
      <c r="M231" t="str">
        <f t="shared" si="44"/>
        <v>4804720992</v>
      </c>
      <c r="N231" t="str">
        <f>""</f>
        <v/>
      </c>
      <c r="O231" t="s">
        <v>977</v>
      </c>
      <c r="P231" t="s">
        <v>978</v>
      </c>
      <c r="R231" t="s">
        <v>979</v>
      </c>
      <c r="S231" t="s">
        <v>36</v>
      </c>
      <c r="T231" t="str">
        <f t="shared" si="42"/>
        <v>85210</v>
      </c>
      <c r="U231" t="str">
        <f t="shared" si="43"/>
        <v>1096</v>
      </c>
      <c r="V231" t="s">
        <v>1009</v>
      </c>
      <c r="X231" t="s">
        <v>979</v>
      </c>
      <c r="Y231" t="s">
        <v>36</v>
      </c>
      <c r="Z231" t="str">
        <f>"85201"</f>
        <v>85201</v>
      </c>
      <c r="AA231" t="str">
        <f>"6150"</f>
        <v>6150</v>
      </c>
      <c r="AB231" t="s">
        <v>821</v>
      </c>
    </row>
    <row r="232" spans="1:28" x14ac:dyDescent="0.25">
      <c r="A232">
        <v>4235</v>
      </c>
      <c r="B232" t="str">
        <f t="shared" si="39"/>
        <v>070204000</v>
      </c>
      <c r="C232" t="s">
        <v>974</v>
      </c>
      <c r="D232">
        <v>4928</v>
      </c>
      <c r="E232" t="str">
        <f>"070204116"</f>
        <v>070204116</v>
      </c>
      <c r="F232" t="s">
        <v>1010</v>
      </c>
      <c r="G232" t="s">
        <v>42</v>
      </c>
      <c r="H232" t="s">
        <v>975</v>
      </c>
      <c r="I232" t="s">
        <v>976</v>
      </c>
      <c r="J232" t="s">
        <v>202</v>
      </c>
      <c r="K232" t="str">
        <f t="shared" si="40"/>
        <v>4804720909</v>
      </c>
      <c r="L232" t="str">
        <f>""</f>
        <v/>
      </c>
      <c r="M232" t="str">
        <f t="shared" si="44"/>
        <v>4804720992</v>
      </c>
      <c r="N232" t="str">
        <f>""</f>
        <v/>
      </c>
      <c r="O232" t="s">
        <v>1011</v>
      </c>
      <c r="P232" t="s">
        <v>978</v>
      </c>
      <c r="R232" t="s">
        <v>979</v>
      </c>
      <c r="S232" t="s">
        <v>36</v>
      </c>
      <c r="T232" t="str">
        <f t="shared" si="42"/>
        <v>85210</v>
      </c>
      <c r="U232" t="str">
        <f t="shared" si="43"/>
        <v>1096</v>
      </c>
      <c r="V232" t="s">
        <v>1012</v>
      </c>
      <c r="X232" t="s">
        <v>979</v>
      </c>
      <c r="Y232" t="s">
        <v>36</v>
      </c>
      <c r="Z232" t="str">
        <f>"85201"</f>
        <v>85201</v>
      </c>
      <c r="AA232" t="str">
        <f>"4525"</f>
        <v>4525</v>
      </c>
      <c r="AB232" t="s">
        <v>821</v>
      </c>
    </row>
    <row r="233" spans="1:28" x14ac:dyDescent="0.25">
      <c r="A233">
        <v>4235</v>
      </c>
      <c r="B233" t="str">
        <f t="shared" si="39"/>
        <v>070204000</v>
      </c>
      <c r="C233" t="s">
        <v>974</v>
      </c>
      <c r="D233">
        <v>4929</v>
      </c>
      <c r="E233" t="str">
        <f>"070204117"</f>
        <v>070204117</v>
      </c>
      <c r="F233" t="s">
        <v>1013</v>
      </c>
      <c r="G233" t="s">
        <v>42</v>
      </c>
      <c r="H233" t="s">
        <v>975</v>
      </c>
      <c r="I233" t="s">
        <v>976</v>
      </c>
      <c r="J233" t="s">
        <v>202</v>
      </c>
      <c r="K233" t="str">
        <f t="shared" si="40"/>
        <v>4804720909</v>
      </c>
      <c r="L233" t="str">
        <f>""</f>
        <v/>
      </c>
      <c r="M233" t="str">
        <f t="shared" si="44"/>
        <v>4804720992</v>
      </c>
      <c r="N233" t="str">
        <f>""</f>
        <v/>
      </c>
      <c r="O233" t="s">
        <v>977</v>
      </c>
      <c r="P233" t="s">
        <v>978</v>
      </c>
      <c r="R233" t="s">
        <v>979</v>
      </c>
      <c r="S233" t="s">
        <v>36</v>
      </c>
      <c r="T233" t="str">
        <f t="shared" si="42"/>
        <v>85210</v>
      </c>
      <c r="U233" t="str">
        <f t="shared" si="43"/>
        <v>1096</v>
      </c>
      <c r="V233" t="s">
        <v>1014</v>
      </c>
      <c r="X233" t="s">
        <v>979</v>
      </c>
      <c r="Y233" t="s">
        <v>36</v>
      </c>
      <c r="Z233" t="str">
        <f>"85201"</f>
        <v>85201</v>
      </c>
      <c r="AA233" t="str">
        <f>"1706"</f>
        <v>1706</v>
      </c>
      <c r="AB233" t="s">
        <v>821</v>
      </c>
    </row>
    <row r="234" spans="1:28" x14ac:dyDescent="0.25">
      <c r="A234">
        <v>4235</v>
      </c>
      <c r="B234" t="str">
        <f t="shared" si="39"/>
        <v>070204000</v>
      </c>
      <c r="C234" t="s">
        <v>974</v>
      </c>
      <c r="D234">
        <v>4930</v>
      </c>
      <c r="E234" t="str">
        <f>"070204118"</f>
        <v>070204118</v>
      </c>
      <c r="F234" t="s">
        <v>1015</v>
      </c>
      <c r="G234" t="s">
        <v>42</v>
      </c>
      <c r="H234" t="s">
        <v>975</v>
      </c>
      <c r="I234" t="s">
        <v>976</v>
      </c>
      <c r="J234" t="s">
        <v>202</v>
      </c>
      <c r="K234" t="str">
        <f t="shared" si="40"/>
        <v>4804720909</v>
      </c>
      <c r="L234" t="str">
        <f>""</f>
        <v/>
      </c>
      <c r="M234" t="str">
        <f t="shared" si="44"/>
        <v>4804720992</v>
      </c>
      <c r="N234" t="str">
        <f>""</f>
        <v/>
      </c>
      <c r="O234" t="s">
        <v>977</v>
      </c>
      <c r="P234" t="s">
        <v>978</v>
      </c>
      <c r="R234" t="s">
        <v>979</v>
      </c>
      <c r="S234" t="s">
        <v>36</v>
      </c>
      <c r="T234" t="str">
        <f t="shared" si="42"/>
        <v>85210</v>
      </c>
      <c r="U234" t="str">
        <f t="shared" si="43"/>
        <v>1096</v>
      </c>
      <c r="V234" t="s">
        <v>1016</v>
      </c>
      <c r="X234" t="s">
        <v>979</v>
      </c>
      <c r="Y234" t="s">
        <v>36</v>
      </c>
      <c r="Z234" t="str">
        <f>"85207"</f>
        <v>85207</v>
      </c>
      <c r="AA234" t="str">
        <f>"6228"</f>
        <v>6228</v>
      </c>
      <c r="AB234" t="s">
        <v>821</v>
      </c>
    </row>
    <row r="235" spans="1:28" x14ac:dyDescent="0.25">
      <c r="A235">
        <v>4235</v>
      </c>
      <c r="B235" t="str">
        <f t="shared" si="39"/>
        <v>070204000</v>
      </c>
      <c r="C235" t="s">
        <v>974</v>
      </c>
      <c r="D235">
        <v>4931</v>
      </c>
      <c r="E235" t="str">
        <f>"070204119"</f>
        <v>070204119</v>
      </c>
      <c r="F235" t="s">
        <v>1017</v>
      </c>
      <c r="G235" t="s">
        <v>42</v>
      </c>
      <c r="H235" t="s">
        <v>975</v>
      </c>
      <c r="I235" t="s">
        <v>976</v>
      </c>
      <c r="J235" t="s">
        <v>202</v>
      </c>
      <c r="K235" t="str">
        <f t="shared" si="40"/>
        <v>4804720909</v>
      </c>
      <c r="L235" t="str">
        <f>""</f>
        <v/>
      </c>
      <c r="M235" t="str">
        <f t="shared" si="44"/>
        <v>4804720992</v>
      </c>
      <c r="N235" t="str">
        <f>""</f>
        <v/>
      </c>
      <c r="O235" t="s">
        <v>977</v>
      </c>
      <c r="P235" t="s">
        <v>978</v>
      </c>
      <c r="R235" t="s">
        <v>979</v>
      </c>
      <c r="S235" t="s">
        <v>36</v>
      </c>
      <c r="T235" t="str">
        <f t="shared" si="42"/>
        <v>85210</v>
      </c>
      <c r="U235" t="str">
        <f t="shared" si="43"/>
        <v>1096</v>
      </c>
      <c r="V235" t="s">
        <v>1018</v>
      </c>
      <c r="X235" t="s">
        <v>979</v>
      </c>
      <c r="Y235" t="s">
        <v>36</v>
      </c>
      <c r="Z235" t="str">
        <f>"85213"</f>
        <v>85213</v>
      </c>
      <c r="AA235" t="str">
        <f>"4018"</f>
        <v>4018</v>
      </c>
      <c r="AB235" t="s">
        <v>821</v>
      </c>
    </row>
    <row r="236" spans="1:28" x14ac:dyDescent="0.25">
      <c r="A236">
        <v>4235</v>
      </c>
      <c r="B236" t="str">
        <f t="shared" si="39"/>
        <v>070204000</v>
      </c>
      <c r="C236" t="s">
        <v>974</v>
      </c>
      <c r="D236">
        <v>4932</v>
      </c>
      <c r="E236" t="str">
        <f>"070204120"</f>
        <v>070204120</v>
      </c>
      <c r="F236" t="s">
        <v>1019</v>
      </c>
      <c r="G236" t="s">
        <v>42</v>
      </c>
      <c r="H236" t="s">
        <v>975</v>
      </c>
      <c r="I236" t="s">
        <v>976</v>
      </c>
      <c r="J236" t="s">
        <v>202</v>
      </c>
      <c r="K236" t="str">
        <f t="shared" si="40"/>
        <v>4804720909</v>
      </c>
      <c r="L236" t="str">
        <f>""</f>
        <v/>
      </c>
      <c r="M236" t="str">
        <f t="shared" si="44"/>
        <v>4804720992</v>
      </c>
      <c r="N236" t="str">
        <f>""</f>
        <v/>
      </c>
      <c r="O236" t="s">
        <v>977</v>
      </c>
      <c r="P236" t="s">
        <v>1020</v>
      </c>
      <c r="R236" t="s">
        <v>979</v>
      </c>
      <c r="S236" t="s">
        <v>36</v>
      </c>
      <c r="T236" t="str">
        <f t="shared" si="42"/>
        <v>85210</v>
      </c>
      <c r="U236" t="str">
        <f t="shared" si="43"/>
        <v>1096</v>
      </c>
      <c r="V236" t="s">
        <v>1021</v>
      </c>
      <c r="X236" t="s">
        <v>979</v>
      </c>
      <c r="Y236" t="s">
        <v>36</v>
      </c>
      <c r="Z236" t="str">
        <f>"85201"</f>
        <v>85201</v>
      </c>
      <c r="AA236" t="str">
        <f>"4302"</f>
        <v>4302</v>
      </c>
      <c r="AB236" t="s">
        <v>821</v>
      </c>
    </row>
    <row r="237" spans="1:28" x14ac:dyDescent="0.25">
      <c r="A237">
        <v>4235</v>
      </c>
      <c r="B237" t="str">
        <f t="shared" si="39"/>
        <v>070204000</v>
      </c>
      <c r="C237" t="s">
        <v>974</v>
      </c>
      <c r="D237">
        <v>4933</v>
      </c>
      <c r="E237" t="str">
        <f>"070204121"</f>
        <v>070204121</v>
      </c>
      <c r="F237" t="s">
        <v>1022</v>
      </c>
      <c r="G237" t="s">
        <v>42</v>
      </c>
      <c r="H237" t="s">
        <v>975</v>
      </c>
      <c r="I237" t="s">
        <v>976</v>
      </c>
      <c r="J237" t="s">
        <v>202</v>
      </c>
      <c r="K237" t="str">
        <f t="shared" si="40"/>
        <v>4804720909</v>
      </c>
      <c r="L237" t="str">
        <f>""</f>
        <v/>
      </c>
      <c r="M237" t="str">
        <f t="shared" si="44"/>
        <v>4804720992</v>
      </c>
      <c r="N237" t="str">
        <f>""</f>
        <v/>
      </c>
      <c r="O237" t="s">
        <v>977</v>
      </c>
      <c r="P237" t="s">
        <v>978</v>
      </c>
      <c r="R237" t="s">
        <v>979</v>
      </c>
      <c r="S237" t="s">
        <v>36</v>
      </c>
      <c r="T237" t="str">
        <f t="shared" si="42"/>
        <v>85210</v>
      </c>
      <c r="U237" t="str">
        <f t="shared" si="43"/>
        <v>1096</v>
      </c>
      <c r="V237" t="s">
        <v>1023</v>
      </c>
      <c r="X237" t="s">
        <v>979</v>
      </c>
      <c r="Y237" t="s">
        <v>36</v>
      </c>
      <c r="Z237" t="str">
        <f>"85202"</f>
        <v>85202</v>
      </c>
      <c r="AA237" t="str">
        <f>"2824"</f>
        <v>2824</v>
      </c>
      <c r="AB237" t="s">
        <v>821</v>
      </c>
    </row>
    <row r="238" spans="1:28" x14ac:dyDescent="0.25">
      <c r="A238">
        <v>4235</v>
      </c>
      <c r="B238" t="str">
        <f t="shared" si="39"/>
        <v>070204000</v>
      </c>
      <c r="C238" t="s">
        <v>974</v>
      </c>
      <c r="D238">
        <v>4934</v>
      </c>
      <c r="E238" t="str">
        <f>"070204122"</f>
        <v>070204122</v>
      </c>
      <c r="F238" t="s">
        <v>1024</v>
      </c>
      <c r="G238" t="s">
        <v>42</v>
      </c>
      <c r="H238" t="s">
        <v>975</v>
      </c>
      <c r="I238" t="s">
        <v>976</v>
      </c>
      <c r="J238" t="s">
        <v>202</v>
      </c>
      <c r="K238" t="str">
        <f t="shared" si="40"/>
        <v>4804720909</v>
      </c>
      <c r="L238" t="str">
        <f>""</f>
        <v/>
      </c>
      <c r="M238" t="str">
        <f t="shared" si="44"/>
        <v>4804720992</v>
      </c>
      <c r="N238" t="str">
        <f>""</f>
        <v/>
      </c>
      <c r="O238" t="s">
        <v>977</v>
      </c>
      <c r="P238" t="s">
        <v>978</v>
      </c>
      <c r="R238" t="s">
        <v>979</v>
      </c>
      <c r="S238" t="s">
        <v>36</v>
      </c>
      <c r="T238" t="str">
        <f t="shared" si="42"/>
        <v>85210</v>
      </c>
      <c r="U238" t="str">
        <f t="shared" si="43"/>
        <v>1096</v>
      </c>
      <c r="V238" t="s">
        <v>1025</v>
      </c>
      <c r="X238" t="s">
        <v>979</v>
      </c>
      <c r="Y238" t="s">
        <v>36</v>
      </c>
      <c r="Z238" t="str">
        <f>"85204"</f>
        <v>85204</v>
      </c>
      <c r="AA238" t="str">
        <f>"4337"</f>
        <v>4337</v>
      </c>
      <c r="AB238" t="s">
        <v>821</v>
      </c>
    </row>
    <row r="239" spans="1:28" x14ac:dyDescent="0.25">
      <c r="A239">
        <v>4235</v>
      </c>
      <c r="B239" t="str">
        <f t="shared" si="39"/>
        <v>070204000</v>
      </c>
      <c r="C239" t="s">
        <v>974</v>
      </c>
      <c r="D239">
        <v>4935</v>
      </c>
      <c r="E239" t="str">
        <f>"070204123"</f>
        <v>070204123</v>
      </c>
      <c r="F239" t="s">
        <v>1026</v>
      </c>
      <c r="G239" t="s">
        <v>42</v>
      </c>
      <c r="H239" t="s">
        <v>975</v>
      </c>
      <c r="I239" t="s">
        <v>976</v>
      </c>
      <c r="J239" t="s">
        <v>202</v>
      </c>
      <c r="K239" t="str">
        <f t="shared" si="40"/>
        <v>4804720909</v>
      </c>
      <c r="L239" t="str">
        <f>""</f>
        <v/>
      </c>
      <c r="M239" t="str">
        <f t="shared" si="44"/>
        <v>4804720992</v>
      </c>
      <c r="N239" t="str">
        <f>""</f>
        <v/>
      </c>
      <c r="O239" t="s">
        <v>977</v>
      </c>
      <c r="P239" t="s">
        <v>978</v>
      </c>
      <c r="R239" t="s">
        <v>979</v>
      </c>
      <c r="S239" t="s">
        <v>36</v>
      </c>
      <c r="T239" t="str">
        <f t="shared" si="42"/>
        <v>85210</v>
      </c>
      <c r="U239" t="str">
        <f t="shared" si="43"/>
        <v>1096</v>
      </c>
      <c r="V239" t="s">
        <v>1027</v>
      </c>
      <c r="X239" t="s">
        <v>979</v>
      </c>
      <c r="Y239" t="s">
        <v>36</v>
      </c>
      <c r="Z239" t="str">
        <f>"85210"</f>
        <v>85210</v>
      </c>
      <c r="AA239" t="str">
        <f>"3498"</f>
        <v>3498</v>
      </c>
      <c r="AB239" t="s">
        <v>821</v>
      </c>
    </row>
    <row r="240" spans="1:28" x14ac:dyDescent="0.25">
      <c r="A240">
        <v>4235</v>
      </c>
      <c r="B240" t="str">
        <f t="shared" si="39"/>
        <v>070204000</v>
      </c>
      <c r="C240" t="s">
        <v>974</v>
      </c>
      <c r="D240">
        <v>4936</v>
      </c>
      <c r="E240" t="str">
        <f>"070204124"</f>
        <v>070204124</v>
      </c>
      <c r="F240" t="s">
        <v>1028</v>
      </c>
      <c r="G240" t="s">
        <v>42</v>
      </c>
      <c r="H240" t="s">
        <v>975</v>
      </c>
      <c r="I240" t="s">
        <v>976</v>
      </c>
      <c r="J240" t="s">
        <v>202</v>
      </c>
      <c r="K240" t="str">
        <f t="shared" si="40"/>
        <v>4804720909</v>
      </c>
      <c r="L240" t="str">
        <f>""</f>
        <v/>
      </c>
      <c r="M240" t="str">
        <f t="shared" si="44"/>
        <v>4804720992</v>
      </c>
      <c r="N240" t="str">
        <f>""</f>
        <v/>
      </c>
      <c r="O240" t="s">
        <v>977</v>
      </c>
      <c r="P240" t="s">
        <v>978</v>
      </c>
      <c r="R240" t="s">
        <v>979</v>
      </c>
      <c r="S240" t="s">
        <v>36</v>
      </c>
      <c r="T240" t="str">
        <f t="shared" si="42"/>
        <v>85210</v>
      </c>
      <c r="U240" t="str">
        <f t="shared" si="43"/>
        <v>1096</v>
      </c>
      <c r="V240" t="s">
        <v>1029</v>
      </c>
      <c r="X240" t="s">
        <v>979</v>
      </c>
      <c r="Y240" t="s">
        <v>36</v>
      </c>
      <c r="Z240" t="str">
        <f>"85207"</f>
        <v>85207</v>
      </c>
      <c r="AA240" t="str">
        <f>"3707"</f>
        <v>3707</v>
      </c>
      <c r="AB240" t="s">
        <v>821</v>
      </c>
    </row>
    <row r="241" spans="1:28" x14ac:dyDescent="0.25">
      <c r="A241">
        <v>4235</v>
      </c>
      <c r="B241" t="str">
        <f t="shared" si="39"/>
        <v>070204000</v>
      </c>
      <c r="C241" t="s">
        <v>974</v>
      </c>
      <c r="D241">
        <v>4937</v>
      </c>
      <c r="E241" t="str">
        <f>"070204125"</f>
        <v>070204125</v>
      </c>
      <c r="F241" t="s">
        <v>1030</v>
      </c>
      <c r="G241" t="s">
        <v>42</v>
      </c>
      <c r="H241" t="s">
        <v>975</v>
      </c>
      <c r="I241" t="s">
        <v>976</v>
      </c>
      <c r="J241" t="s">
        <v>202</v>
      </c>
      <c r="K241" t="str">
        <f t="shared" si="40"/>
        <v>4804720909</v>
      </c>
      <c r="L241" t="str">
        <f>""</f>
        <v/>
      </c>
      <c r="M241" t="str">
        <f t="shared" si="44"/>
        <v>4804720992</v>
      </c>
      <c r="N241" t="str">
        <f>""</f>
        <v/>
      </c>
      <c r="O241" t="s">
        <v>977</v>
      </c>
      <c r="P241" t="s">
        <v>978</v>
      </c>
      <c r="R241" t="s">
        <v>979</v>
      </c>
      <c r="S241" t="s">
        <v>36</v>
      </c>
      <c r="T241" t="str">
        <f t="shared" si="42"/>
        <v>85210</v>
      </c>
      <c r="U241" t="str">
        <f t="shared" si="43"/>
        <v>1096</v>
      </c>
      <c r="V241" t="s">
        <v>1031</v>
      </c>
      <c r="X241" t="s">
        <v>979</v>
      </c>
      <c r="Y241" t="s">
        <v>36</v>
      </c>
      <c r="Z241" t="str">
        <f>"85213"</f>
        <v>85213</v>
      </c>
      <c r="AA241" t="str">
        <f>"6713"</f>
        <v>6713</v>
      </c>
      <c r="AB241" t="s">
        <v>821</v>
      </c>
    </row>
    <row r="242" spans="1:28" x14ac:dyDescent="0.25">
      <c r="A242">
        <v>4235</v>
      </c>
      <c r="B242" t="str">
        <f t="shared" si="39"/>
        <v>070204000</v>
      </c>
      <c r="C242" t="s">
        <v>974</v>
      </c>
      <c r="D242">
        <v>4938</v>
      </c>
      <c r="E242" t="str">
        <f>"070204126"</f>
        <v>070204126</v>
      </c>
      <c r="F242" t="s">
        <v>1032</v>
      </c>
      <c r="G242" t="s">
        <v>42</v>
      </c>
      <c r="H242" t="s">
        <v>975</v>
      </c>
      <c r="I242" t="s">
        <v>976</v>
      </c>
      <c r="J242" t="s">
        <v>202</v>
      </c>
      <c r="K242" t="str">
        <f t="shared" si="40"/>
        <v>4804720909</v>
      </c>
      <c r="L242" t="str">
        <f>""</f>
        <v/>
      </c>
      <c r="M242" t="str">
        <f t="shared" si="44"/>
        <v>4804720992</v>
      </c>
      <c r="N242" t="str">
        <f>""</f>
        <v/>
      </c>
      <c r="O242" t="s">
        <v>977</v>
      </c>
      <c r="P242" t="s">
        <v>978</v>
      </c>
      <c r="R242" t="s">
        <v>979</v>
      </c>
      <c r="S242" t="s">
        <v>36</v>
      </c>
      <c r="T242" t="str">
        <f t="shared" si="42"/>
        <v>85210</v>
      </c>
      <c r="U242" t="str">
        <f t="shared" si="43"/>
        <v>1096</v>
      </c>
      <c r="V242" t="s">
        <v>1033</v>
      </c>
      <c r="X242" t="s">
        <v>979</v>
      </c>
      <c r="Y242" t="s">
        <v>36</v>
      </c>
      <c r="Z242" t="str">
        <f>"85202"</f>
        <v>85202</v>
      </c>
      <c r="AA242" t="str">
        <f>"5516"</f>
        <v>5516</v>
      </c>
      <c r="AB242" t="s">
        <v>821</v>
      </c>
    </row>
    <row r="243" spans="1:28" x14ac:dyDescent="0.25">
      <c r="A243">
        <v>4235</v>
      </c>
      <c r="B243" t="str">
        <f t="shared" si="39"/>
        <v>070204000</v>
      </c>
      <c r="C243" t="s">
        <v>974</v>
      </c>
      <c r="D243">
        <v>4939</v>
      </c>
      <c r="E243" t="str">
        <f>"070204127"</f>
        <v>070204127</v>
      </c>
      <c r="F243" t="s">
        <v>349</v>
      </c>
      <c r="G243" t="s">
        <v>42</v>
      </c>
      <c r="H243" t="s">
        <v>975</v>
      </c>
      <c r="I243" t="s">
        <v>976</v>
      </c>
      <c r="J243" t="s">
        <v>202</v>
      </c>
      <c r="K243" t="str">
        <f t="shared" si="40"/>
        <v>4804720909</v>
      </c>
      <c r="L243" t="str">
        <f>""</f>
        <v/>
      </c>
      <c r="M243" t="str">
        <f t="shared" si="44"/>
        <v>4804720992</v>
      </c>
      <c r="N243" t="str">
        <f>""</f>
        <v/>
      </c>
      <c r="O243" t="s">
        <v>977</v>
      </c>
      <c r="P243" t="s">
        <v>978</v>
      </c>
      <c r="R243" t="s">
        <v>979</v>
      </c>
      <c r="S243" t="s">
        <v>36</v>
      </c>
      <c r="T243" t="str">
        <f t="shared" si="42"/>
        <v>85210</v>
      </c>
      <c r="U243" t="str">
        <f t="shared" si="43"/>
        <v>1096</v>
      </c>
      <c r="V243" t="s">
        <v>1034</v>
      </c>
      <c r="X243" t="s">
        <v>979</v>
      </c>
      <c r="Y243" t="s">
        <v>36</v>
      </c>
      <c r="Z243" t="str">
        <f>"85208"</f>
        <v>85208</v>
      </c>
      <c r="AA243" t="str">
        <f>"2480"</f>
        <v>2480</v>
      </c>
      <c r="AB243" t="s">
        <v>821</v>
      </c>
    </row>
    <row r="244" spans="1:28" x14ac:dyDescent="0.25">
      <c r="A244">
        <v>4235</v>
      </c>
      <c r="B244" t="str">
        <f t="shared" si="39"/>
        <v>070204000</v>
      </c>
      <c r="C244" t="s">
        <v>974</v>
      </c>
      <c r="D244">
        <v>4940</v>
      </c>
      <c r="E244" t="str">
        <f>"070204128"</f>
        <v>070204128</v>
      </c>
      <c r="F244" t="s">
        <v>1035</v>
      </c>
      <c r="G244" t="s">
        <v>42</v>
      </c>
      <c r="H244" t="s">
        <v>975</v>
      </c>
      <c r="I244" t="s">
        <v>976</v>
      </c>
      <c r="J244" t="s">
        <v>202</v>
      </c>
      <c r="K244" t="str">
        <f t="shared" si="40"/>
        <v>4804720909</v>
      </c>
      <c r="L244" t="str">
        <f>""</f>
        <v/>
      </c>
      <c r="M244" t="str">
        <f t="shared" si="44"/>
        <v>4804720992</v>
      </c>
      <c r="N244" t="str">
        <f>""</f>
        <v/>
      </c>
      <c r="O244" t="s">
        <v>977</v>
      </c>
      <c r="P244" t="s">
        <v>978</v>
      </c>
      <c r="R244" t="s">
        <v>979</v>
      </c>
      <c r="S244" t="s">
        <v>36</v>
      </c>
      <c r="T244" t="str">
        <f t="shared" si="42"/>
        <v>85210</v>
      </c>
      <c r="U244" t="str">
        <f t="shared" si="43"/>
        <v>1096</v>
      </c>
      <c r="V244" t="s">
        <v>1036</v>
      </c>
      <c r="X244" t="s">
        <v>979</v>
      </c>
      <c r="Y244" t="s">
        <v>36</v>
      </c>
      <c r="Z244" t="str">
        <f>"85204"</f>
        <v>85204</v>
      </c>
      <c r="AA244" t="str">
        <f>"5938"</f>
        <v>5938</v>
      </c>
      <c r="AB244" t="s">
        <v>821</v>
      </c>
    </row>
    <row r="245" spans="1:28" x14ac:dyDescent="0.25">
      <c r="A245">
        <v>4235</v>
      </c>
      <c r="B245" t="str">
        <f t="shared" si="39"/>
        <v>070204000</v>
      </c>
      <c r="C245" t="s">
        <v>974</v>
      </c>
      <c r="D245">
        <v>4941</v>
      </c>
      <c r="E245" t="str">
        <f>"070204129"</f>
        <v>070204129</v>
      </c>
      <c r="F245" t="s">
        <v>1037</v>
      </c>
      <c r="G245" t="s">
        <v>42</v>
      </c>
      <c r="H245" t="s">
        <v>975</v>
      </c>
      <c r="I245" t="s">
        <v>976</v>
      </c>
      <c r="J245" t="s">
        <v>202</v>
      </c>
      <c r="K245" t="str">
        <f t="shared" si="40"/>
        <v>4804720909</v>
      </c>
      <c r="L245" t="str">
        <f>""</f>
        <v/>
      </c>
      <c r="M245" t="str">
        <f t="shared" si="44"/>
        <v>4804720992</v>
      </c>
      <c r="N245" t="str">
        <f>""</f>
        <v/>
      </c>
      <c r="O245" t="s">
        <v>977</v>
      </c>
      <c r="P245" t="s">
        <v>978</v>
      </c>
      <c r="R245" t="s">
        <v>979</v>
      </c>
      <c r="S245" t="s">
        <v>36</v>
      </c>
      <c r="T245" t="str">
        <f t="shared" si="42"/>
        <v>85210</v>
      </c>
      <c r="U245" t="str">
        <f t="shared" si="43"/>
        <v>1096</v>
      </c>
      <c r="V245" t="s">
        <v>1038</v>
      </c>
      <c r="X245" t="s">
        <v>979</v>
      </c>
      <c r="Y245" t="s">
        <v>36</v>
      </c>
      <c r="Z245" t="str">
        <f>"85203"</f>
        <v>85203</v>
      </c>
      <c r="AA245" t="str">
        <f>"3840"</f>
        <v>3840</v>
      </c>
      <c r="AB245" t="s">
        <v>821</v>
      </c>
    </row>
    <row r="246" spans="1:28" x14ac:dyDescent="0.25">
      <c r="A246">
        <v>4235</v>
      </c>
      <c r="B246" t="str">
        <f t="shared" si="39"/>
        <v>070204000</v>
      </c>
      <c r="C246" t="s">
        <v>974</v>
      </c>
      <c r="D246">
        <v>4943</v>
      </c>
      <c r="E246" t="str">
        <f>"070204131"</f>
        <v>070204131</v>
      </c>
      <c r="F246" t="s">
        <v>1039</v>
      </c>
      <c r="G246" t="s">
        <v>42</v>
      </c>
      <c r="H246" t="s">
        <v>975</v>
      </c>
      <c r="I246" t="s">
        <v>976</v>
      </c>
      <c r="J246" t="s">
        <v>202</v>
      </c>
      <c r="K246" t="str">
        <f t="shared" si="40"/>
        <v>4804720909</v>
      </c>
      <c r="L246" t="str">
        <f>""</f>
        <v/>
      </c>
      <c r="M246" t="str">
        <f t="shared" si="44"/>
        <v>4804720992</v>
      </c>
      <c r="N246" t="str">
        <f>""</f>
        <v/>
      </c>
      <c r="O246" t="s">
        <v>977</v>
      </c>
      <c r="P246" t="s">
        <v>978</v>
      </c>
      <c r="R246" t="s">
        <v>979</v>
      </c>
      <c r="S246" t="s">
        <v>36</v>
      </c>
      <c r="T246" t="str">
        <f t="shared" si="42"/>
        <v>85210</v>
      </c>
      <c r="U246" t="str">
        <f t="shared" si="43"/>
        <v>1096</v>
      </c>
      <c r="V246" t="s">
        <v>1040</v>
      </c>
      <c r="X246" t="s">
        <v>1041</v>
      </c>
      <c r="Y246" t="s">
        <v>36</v>
      </c>
      <c r="Z246" t="str">
        <f>"85224"</f>
        <v>85224</v>
      </c>
      <c r="AA246" t="str">
        <f>"2259"</f>
        <v>2259</v>
      </c>
      <c r="AB246" t="s">
        <v>821</v>
      </c>
    </row>
    <row r="247" spans="1:28" x14ac:dyDescent="0.25">
      <c r="A247">
        <v>4235</v>
      </c>
      <c r="B247" t="str">
        <f t="shared" si="39"/>
        <v>070204000</v>
      </c>
      <c r="C247" t="s">
        <v>974</v>
      </c>
      <c r="D247">
        <v>4944</v>
      </c>
      <c r="E247" t="str">
        <f>"070204132"</f>
        <v>070204132</v>
      </c>
      <c r="F247" t="s">
        <v>1042</v>
      </c>
      <c r="G247" t="s">
        <v>42</v>
      </c>
      <c r="H247" t="s">
        <v>975</v>
      </c>
      <c r="I247" t="s">
        <v>976</v>
      </c>
      <c r="J247" t="s">
        <v>202</v>
      </c>
      <c r="K247" t="str">
        <f t="shared" si="40"/>
        <v>4804720909</v>
      </c>
      <c r="L247" t="str">
        <f>""</f>
        <v/>
      </c>
      <c r="M247" t="str">
        <f t="shared" si="44"/>
        <v>4804720992</v>
      </c>
      <c r="N247" t="str">
        <f>""</f>
        <v/>
      </c>
      <c r="O247" t="s">
        <v>977</v>
      </c>
      <c r="P247" t="s">
        <v>978</v>
      </c>
      <c r="R247" t="s">
        <v>979</v>
      </c>
      <c r="S247" t="s">
        <v>36</v>
      </c>
      <c r="T247" t="str">
        <f t="shared" si="42"/>
        <v>85210</v>
      </c>
      <c r="U247" t="str">
        <f t="shared" si="43"/>
        <v>1096</v>
      </c>
      <c r="V247" t="s">
        <v>1043</v>
      </c>
      <c r="X247" t="s">
        <v>979</v>
      </c>
      <c r="Y247" t="s">
        <v>36</v>
      </c>
      <c r="Z247" t="str">
        <f>"85213"</f>
        <v>85213</v>
      </c>
      <c r="AA247" t="str">
        <f>"6920"</f>
        <v>6920</v>
      </c>
      <c r="AB247" t="s">
        <v>821</v>
      </c>
    </row>
    <row r="248" spans="1:28" x14ac:dyDescent="0.25">
      <c r="A248">
        <v>4235</v>
      </c>
      <c r="B248" t="str">
        <f t="shared" si="39"/>
        <v>070204000</v>
      </c>
      <c r="C248" t="s">
        <v>974</v>
      </c>
      <c r="D248">
        <v>4945</v>
      </c>
      <c r="E248" t="str">
        <f>"070204133"</f>
        <v>070204133</v>
      </c>
      <c r="F248" t="s">
        <v>1044</v>
      </c>
      <c r="G248" t="s">
        <v>42</v>
      </c>
      <c r="H248" t="s">
        <v>975</v>
      </c>
      <c r="I248" t="s">
        <v>976</v>
      </c>
      <c r="J248" t="s">
        <v>202</v>
      </c>
      <c r="K248" t="str">
        <f t="shared" si="40"/>
        <v>4804720909</v>
      </c>
      <c r="L248" t="str">
        <f>""</f>
        <v/>
      </c>
      <c r="M248" t="str">
        <f t="shared" si="44"/>
        <v>4804720992</v>
      </c>
      <c r="N248" t="str">
        <f>""</f>
        <v/>
      </c>
      <c r="O248" t="s">
        <v>1045</v>
      </c>
      <c r="P248" t="s">
        <v>978</v>
      </c>
      <c r="R248" t="s">
        <v>979</v>
      </c>
      <c r="S248" t="s">
        <v>36</v>
      </c>
      <c r="T248" t="str">
        <f t="shared" si="42"/>
        <v>85210</v>
      </c>
      <c r="U248" t="str">
        <f t="shared" si="43"/>
        <v>1096</v>
      </c>
      <c r="V248" t="s">
        <v>1046</v>
      </c>
      <c r="X248" t="s">
        <v>979</v>
      </c>
      <c r="Y248" t="s">
        <v>36</v>
      </c>
      <c r="Z248" t="str">
        <f>"85210"</f>
        <v>85210</v>
      </c>
      <c r="AA248" t="str">
        <f>"7144"</f>
        <v>7144</v>
      </c>
      <c r="AB248" t="s">
        <v>821</v>
      </c>
    </row>
    <row r="249" spans="1:28" x14ac:dyDescent="0.25">
      <c r="A249">
        <v>4235</v>
      </c>
      <c r="B249" t="str">
        <f t="shared" ref="B249:B280" si="45">"070204000"</f>
        <v>070204000</v>
      </c>
      <c r="C249" t="s">
        <v>974</v>
      </c>
      <c r="D249">
        <v>4946</v>
      </c>
      <c r="E249" t="str">
        <f>"070204134"</f>
        <v>070204134</v>
      </c>
      <c r="F249" t="s">
        <v>1047</v>
      </c>
      <c r="G249" t="s">
        <v>42</v>
      </c>
      <c r="H249" t="s">
        <v>975</v>
      </c>
      <c r="I249" t="s">
        <v>976</v>
      </c>
      <c r="J249" t="s">
        <v>202</v>
      </c>
      <c r="K249" t="str">
        <f t="shared" ref="K249:K280" si="46">"4804720909"</f>
        <v>4804720909</v>
      </c>
      <c r="L249" t="str">
        <f>""</f>
        <v/>
      </c>
      <c r="M249" t="str">
        <f t="shared" si="44"/>
        <v>4804720992</v>
      </c>
      <c r="N249" t="str">
        <f>""</f>
        <v/>
      </c>
      <c r="O249" t="s">
        <v>977</v>
      </c>
      <c r="P249" t="s">
        <v>978</v>
      </c>
      <c r="R249" t="s">
        <v>979</v>
      </c>
      <c r="S249" t="s">
        <v>36</v>
      </c>
      <c r="T249" t="str">
        <f t="shared" ref="T249:T280" si="47">"85210"</f>
        <v>85210</v>
      </c>
      <c r="U249" t="str">
        <f t="shared" si="43"/>
        <v>1096</v>
      </c>
      <c r="V249" t="s">
        <v>1048</v>
      </c>
      <c r="X249" t="s">
        <v>979</v>
      </c>
      <c r="Y249" t="s">
        <v>36</v>
      </c>
      <c r="Z249" t="str">
        <f>"85204"</f>
        <v>85204</v>
      </c>
      <c r="AA249" t="str">
        <f>"3704"</f>
        <v>3704</v>
      </c>
      <c r="AB249" t="s">
        <v>821</v>
      </c>
    </row>
    <row r="250" spans="1:28" x14ac:dyDescent="0.25">
      <c r="A250">
        <v>4235</v>
      </c>
      <c r="B250" t="str">
        <f t="shared" si="45"/>
        <v>070204000</v>
      </c>
      <c r="C250" t="s">
        <v>974</v>
      </c>
      <c r="D250">
        <v>4947</v>
      </c>
      <c r="E250" t="str">
        <f>"070204135"</f>
        <v>070204135</v>
      </c>
      <c r="F250" t="s">
        <v>1049</v>
      </c>
      <c r="G250" t="s">
        <v>42</v>
      </c>
      <c r="H250" t="s">
        <v>975</v>
      </c>
      <c r="I250" t="s">
        <v>976</v>
      </c>
      <c r="J250" t="s">
        <v>202</v>
      </c>
      <c r="K250" t="str">
        <f t="shared" si="46"/>
        <v>4804720909</v>
      </c>
      <c r="L250" t="str">
        <f>""</f>
        <v/>
      </c>
      <c r="M250" t="str">
        <f t="shared" si="44"/>
        <v>4804720992</v>
      </c>
      <c r="N250" t="str">
        <f>""</f>
        <v/>
      </c>
      <c r="O250" t="s">
        <v>977</v>
      </c>
      <c r="P250" t="s">
        <v>978</v>
      </c>
      <c r="R250" t="s">
        <v>979</v>
      </c>
      <c r="S250" t="s">
        <v>36</v>
      </c>
      <c r="T250" t="str">
        <f t="shared" si="47"/>
        <v>85210</v>
      </c>
      <c r="U250" t="str">
        <f t="shared" ref="U250:U266" si="48">"1096"</f>
        <v>1096</v>
      </c>
      <c r="V250" t="s">
        <v>1050</v>
      </c>
      <c r="X250" t="s">
        <v>1041</v>
      </c>
      <c r="Y250" t="s">
        <v>36</v>
      </c>
      <c r="Z250" t="str">
        <f>"85225"</f>
        <v>85225</v>
      </c>
      <c r="AA250" t="str">
        <f>"2114"</f>
        <v>2114</v>
      </c>
      <c r="AB250" t="s">
        <v>821</v>
      </c>
    </row>
    <row r="251" spans="1:28" x14ac:dyDescent="0.25">
      <c r="A251">
        <v>4235</v>
      </c>
      <c r="B251" t="str">
        <f t="shared" si="45"/>
        <v>070204000</v>
      </c>
      <c r="C251" t="s">
        <v>974</v>
      </c>
      <c r="D251">
        <v>4948</v>
      </c>
      <c r="E251" t="str">
        <f>"070204136"</f>
        <v>070204136</v>
      </c>
      <c r="F251" t="s">
        <v>1051</v>
      </c>
      <c r="G251" t="s">
        <v>42</v>
      </c>
      <c r="H251" t="s">
        <v>975</v>
      </c>
      <c r="I251" t="s">
        <v>976</v>
      </c>
      <c r="J251" t="s">
        <v>202</v>
      </c>
      <c r="K251" t="str">
        <f t="shared" si="46"/>
        <v>4804720909</v>
      </c>
      <c r="L251" t="str">
        <f>""</f>
        <v/>
      </c>
      <c r="M251" t="str">
        <f t="shared" si="44"/>
        <v>4804720992</v>
      </c>
      <c r="N251" t="str">
        <f>""</f>
        <v/>
      </c>
      <c r="O251" t="s">
        <v>977</v>
      </c>
      <c r="P251" t="s">
        <v>978</v>
      </c>
      <c r="R251" t="s">
        <v>979</v>
      </c>
      <c r="S251" t="s">
        <v>36</v>
      </c>
      <c r="T251" t="str">
        <f t="shared" si="47"/>
        <v>85210</v>
      </c>
      <c r="U251" t="str">
        <f t="shared" si="48"/>
        <v>1096</v>
      </c>
      <c r="V251" t="s">
        <v>1052</v>
      </c>
      <c r="X251" t="s">
        <v>979</v>
      </c>
      <c r="Y251" t="s">
        <v>36</v>
      </c>
      <c r="Z251" t="str">
        <f>"85206"</f>
        <v>85206</v>
      </c>
      <c r="AA251" t="str">
        <f>"1822"</f>
        <v>1822</v>
      </c>
      <c r="AB251" t="s">
        <v>821</v>
      </c>
    </row>
    <row r="252" spans="1:28" x14ac:dyDescent="0.25">
      <c r="A252">
        <v>4235</v>
      </c>
      <c r="B252" t="str">
        <f t="shared" si="45"/>
        <v>070204000</v>
      </c>
      <c r="C252" t="s">
        <v>974</v>
      </c>
      <c r="D252">
        <v>4949</v>
      </c>
      <c r="E252" t="str">
        <f>"070204137"</f>
        <v>070204137</v>
      </c>
      <c r="F252" t="s">
        <v>1053</v>
      </c>
      <c r="G252" t="s">
        <v>42</v>
      </c>
      <c r="H252" t="s">
        <v>975</v>
      </c>
      <c r="I252" t="s">
        <v>976</v>
      </c>
      <c r="J252" t="s">
        <v>202</v>
      </c>
      <c r="K252" t="str">
        <f t="shared" si="46"/>
        <v>4804720909</v>
      </c>
      <c r="L252" t="str">
        <f>""</f>
        <v/>
      </c>
      <c r="M252" t="str">
        <f t="shared" si="44"/>
        <v>4804720992</v>
      </c>
      <c r="N252" t="str">
        <f>""</f>
        <v/>
      </c>
      <c r="O252" t="s">
        <v>977</v>
      </c>
      <c r="P252" t="s">
        <v>978</v>
      </c>
      <c r="R252" t="s">
        <v>979</v>
      </c>
      <c r="S252" t="s">
        <v>36</v>
      </c>
      <c r="T252" t="str">
        <f t="shared" si="47"/>
        <v>85210</v>
      </c>
      <c r="U252" t="str">
        <f t="shared" si="48"/>
        <v>1096</v>
      </c>
      <c r="V252" t="s">
        <v>1054</v>
      </c>
      <c r="X252" t="s">
        <v>979</v>
      </c>
      <c r="Y252" t="s">
        <v>36</v>
      </c>
      <c r="Z252" t="str">
        <f>"85205"</f>
        <v>85205</v>
      </c>
      <c r="AA252" t="str">
        <f>"5391"</f>
        <v>5391</v>
      </c>
      <c r="AB252" t="s">
        <v>821</v>
      </c>
    </row>
    <row r="253" spans="1:28" x14ac:dyDescent="0.25">
      <c r="A253">
        <v>4235</v>
      </c>
      <c r="B253" t="str">
        <f t="shared" si="45"/>
        <v>070204000</v>
      </c>
      <c r="C253" t="s">
        <v>974</v>
      </c>
      <c r="D253">
        <v>4951</v>
      </c>
      <c r="E253" t="str">
        <f>"070204139"</f>
        <v>070204139</v>
      </c>
      <c r="F253" t="s">
        <v>1055</v>
      </c>
      <c r="G253" t="s">
        <v>42</v>
      </c>
      <c r="H253" t="s">
        <v>975</v>
      </c>
      <c r="I253" t="s">
        <v>976</v>
      </c>
      <c r="J253" t="s">
        <v>202</v>
      </c>
      <c r="K253" t="str">
        <f t="shared" si="46"/>
        <v>4804720909</v>
      </c>
      <c r="L253" t="str">
        <f>""</f>
        <v/>
      </c>
      <c r="M253" t="str">
        <f t="shared" si="44"/>
        <v>4804720992</v>
      </c>
      <c r="N253" t="str">
        <f>""</f>
        <v/>
      </c>
      <c r="O253" t="s">
        <v>977</v>
      </c>
      <c r="P253" t="s">
        <v>978</v>
      </c>
      <c r="R253" t="s">
        <v>979</v>
      </c>
      <c r="S253" t="s">
        <v>36</v>
      </c>
      <c r="T253" t="str">
        <f t="shared" si="47"/>
        <v>85210</v>
      </c>
      <c r="U253" t="str">
        <f t="shared" si="48"/>
        <v>1096</v>
      </c>
      <c r="V253" t="s">
        <v>1056</v>
      </c>
      <c r="X253" t="s">
        <v>979</v>
      </c>
      <c r="Y253" t="s">
        <v>36</v>
      </c>
      <c r="Z253" t="str">
        <f>"85205"</f>
        <v>85205</v>
      </c>
      <c r="AA253" t="str">
        <f>"3550"</f>
        <v>3550</v>
      </c>
      <c r="AB253" t="s">
        <v>821</v>
      </c>
    </row>
    <row r="254" spans="1:28" x14ac:dyDescent="0.25">
      <c r="A254">
        <v>4235</v>
      </c>
      <c r="B254" t="str">
        <f t="shared" si="45"/>
        <v>070204000</v>
      </c>
      <c r="C254" t="s">
        <v>974</v>
      </c>
      <c r="D254">
        <v>4952</v>
      </c>
      <c r="E254" t="str">
        <f>"070204140"</f>
        <v>070204140</v>
      </c>
      <c r="F254" t="s">
        <v>1057</v>
      </c>
      <c r="G254" t="s">
        <v>42</v>
      </c>
      <c r="H254" t="s">
        <v>975</v>
      </c>
      <c r="I254" t="s">
        <v>976</v>
      </c>
      <c r="J254" t="s">
        <v>202</v>
      </c>
      <c r="K254" t="str">
        <f t="shared" si="46"/>
        <v>4804720909</v>
      </c>
      <c r="L254" t="str">
        <f>""</f>
        <v/>
      </c>
      <c r="M254" t="str">
        <f t="shared" si="44"/>
        <v>4804720992</v>
      </c>
      <c r="N254" t="str">
        <f>""</f>
        <v/>
      </c>
      <c r="O254" t="s">
        <v>977</v>
      </c>
      <c r="P254" t="s">
        <v>978</v>
      </c>
      <c r="R254" t="s">
        <v>979</v>
      </c>
      <c r="S254" t="s">
        <v>36</v>
      </c>
      <c r="T254" t="str">
        <f t="shared" si="47"/>
        <v>85210</v>
      </c>
      <c r="U254" t="str">
        <f t="shared" si="48"/>
        <v>1096</v>
      </c>
      <c r="V254" t="s">
        <v>1058</v>
      </c>
      <c r="X254" t="s">
        <v>979</v>
      </c>
      <c r="Y254" t="s">
        <v>36</v>
      </c>
      <c r="Z254" t="str">
        <f>"85213"</f>
        <v>85213</v>
      </c>
      <c r="AA254" t="str">
        <f>"1662"</f>
        <v>1662</v>
      </c>
      <c r="AB254" t="s">
        <v>821</v>
      </c>
    </row>
    <row r="255" spans="1:28" x14ac:dyDescent="0.25">
      <c r="A255">
        <v>4235</v>
      </c>
      <c r="B255" t="str">
        <f t="shared" si="45"/>
        <v>070204000</v>
      </c>
      <c r="C255" t="s">
        <v>974</v>
      </c>
      <c r="D255">
        <v>4953</v>
      </c>
      <c r="E255" t="str">
        <f>"070204141"</f>
        <v>070204141</v>
      </c>
      <c r="F255" t="s">
        <v>1059</v>
      </c>
      <c r="G255" t="s">
        <v>42</v>
      </c>
      <c r="H255" t="s">
        <v>975</v>
      </c>
      <c r="I255" t="s">
        <v>976</v>
      </c>
      <c r="J255" t="s">
        <v>202</v>
      </c>
      <c r="K255" t="str">
        <f t="shared" si="46"/>
        <v>4804720909</v>
      </c>
      <c r="L255" t="str">
        <f>""</f>
        <v/>
      </c>
      <c r="M255" t="str">
        <f t="shared" si="44"/>
        <v>4804720992</v>
      </c>
      <c r="N255" t="str">
        <f>""</f>
        <v/>
      </c>
      <c r="O255" t="s">
        <v>977</v>
      </c>
      <c r="P255" t="s">
        <v>978</v>
      </c>
      <c r="R255" t="s">
        <v>979</v>
      </c>
      <c r="S255" t="s">
        <v>36</v>
      </c>
      <c r="T255" t="str">
        <f t="shared" si="47"/>
        <v>85210</v>
      </c>
      <c r="U255" t="str">
        <f t="shared" si="48"/>
        <v>1096</v>
      </c>
      <c r="V255" t="s">
        <v>1060</v>
      </c>
      <c r="X255" t="s">
        <v>979</v>
      </c>
      <c r="Y255" t="s">
        <v>36</v>
      </c>
      <c r="Z255" t="str">
        <f>"85206"</f>
        <v>85206</v>
      </c>
      <c r="AA255" t="str">
        <f>"2921"</f>
        <v>2921</v>
      </c>
      <c r="AB255" t="s">
        <v>821</v>
      </c>
    </row>
    <row r="256" spans="1:28" x14ac:dyDescent="0.25">
      <c r="A256">
        <v>4235</v>
      </c>
      <c r="B256" t="str">
        <f t="shared" si="45"/>
        <v>070204000</v>
      </c>
      <c r="C256" t="s">
        <v>974</v>
      </c>
      <c r="D256">
        <v>4954</v>
      </c>
      <c r="E256" t="str">
        <f>"070204142"</f>
        <v>070204142</v>
      </c>
      <c r="F256" t="s">
        <v>1061</v>
      </c>
      <c r="G256" t="s">
        <v>42</v>
      </c>
      <c r="H256" t="s">
        <v>975</v>
      </c>
      <c r="I256" t="s">
        <v>976</v>
      </c>
      <c r="J256" t="s">
        <v>202</v>
      </c>
      <c r="K256" t="str">
        <f t="shared" si="46"/>
        <v>4804720909</v>
      </c>
      <c r="L256" t="str">
        <f>""</f>
        <v/>
      </c>
      <c r="M256" t="str">
        <f t="shared" si="44"/>
        <v>4804720992</v>
      </c>
      <c r="N256" t="str">
        <f>""</f>
        <v/>
      </c>
      <c r="O256" t="s">
        <v>977</v>
      </c>
      <c r="P256" t="s">
        <v>978</v>
      </c>
      <c r="R256" t="s">
        <v>979</v>
      </c>
      <c r="S256" t="s">
        <v>36</v>
      </c>
      <c r="T256" t="str">
        <f t="shared" si="47"/>
        <v>85210</v>
      </c>
      <c r="U256" t="str">
        <f t="shared" si="48"/>
        <v>1096</v>
      </c>
      <c r="V256" t="s">
        <v>1062</v>
      </c>
      <c r="X256" t="s">
        <v>979</v>
      </c>
      <c r="Y256" t="s">
        <v>36</v>
      </c>
      <c r="Z256" t="str">
        <f>"85207"</f>
        <v>85207</v>
      </c>
      <c r="AA256" t="str">
        <f>"2303"</f>
        <v>2303</v>
      </c>
      <c r="AB256" t="s">
        <v>821</v>
      </c>
    </row>
    <row r="257" spans="1:28" x14ac:dyDescent="0.25">
      <c r="A257">
        <v>4235</v>
      </c>
      <c r="B257" t="str">
        <f t="shared" si="45"/>
        <v>070204000</v>
      </c>
      <c r="C257" t="s">
        <v>974</v>
      </c>
      <c r="D257">
        <v>4955</v>
      </c>
      <c r="E257" t="str">
        <f>"070204143"</f>
        <v>070204143</v>
      </c>
      <c r="F257" t="s">
        <v>1063</v>
      </c>
      <c r="G257" t="s">
        <v>42</v>
      </c>
      <c r="H257" t="s">
        <v>975</v>
      </c>
      <c r="I257" t="s">
        <v>976</v>
      </c>
      <c r="J257" t="s">
        <v>202</v>
      </c>
      <c r="K257" t="str">
        <f t="shared" si="46"/>
        <v>4804720909</v>
      </c>
      <c r="L257" t="str">
        <f>""</f>
        <v/>
      </c>
      <c r="M257" t="str">
        <f t="shared" si="44"/>
        <v>4804720992</v>
      </c>
      <c r="N257" t="str">
        <f>""</f>
        <v/>
      </c>
      <c r="O257" t="s">
        <v>977</v>
      </c>
      <c r="P257" t="s">
        <v>978</v>
      </c>
      <c r="R257" t="s">
        <v>979</v>
      </c>
      <c r="S257" t="s">
        <v>36</v>
      </c>
      <c r="T257" t="str">
        <f t="shared" si="47"/>
        <v>85210</v>
      </c>
      <c r="U257" t="str">
        <f t="shared" si="48"/>
        <v>1096</v>
      </c>
      <c r="V257" t="s">
        <v>1064</v>
      </c>
      <c r="X257" t="s">
        <v>979</v>
      </c>
      <c r="Y257" t="s">
        <v>36</v>
      </c>
      <c r="Z257" t="str">
        <f>"85213"</f>
        <v>85213</v>
      </c>
      <c r="AA257" t="str">
        <f>"1435"</f>
        <v>1435</v>
      </c>
      <c r="AB257" t="s">
        <v>821</v>
      </c>
    </row>
    <row r="258" spans="1:28" x14ac:dyDescent="0.25">
      <c r="A258">
        <v>4235</v>
      </c>
      <c r="B258" t="str">
        <f t="shared" si="45"/>
        <v>070204000</v>
      </c>
      <c r="C258" t="s">
        <v>974</v>
      </c>
      <c r="D258">
        <v>4956</v>
      </c>
      <c r="E258" t="str">
        <f>"070204144"</f>
        <v>070204144</v>
      </c>
      <c r="F258" t="s">
        <v>1065</v>
      </c>
      <c r="G258" t="s">
        <v>42</v>
      </c>
      <c r="H258" t="s">
        <v>975</v>
      </c>
      <c r="I258" t="s">
        <v>976</v>
      </c>
      <c r="J258" t="s">
        <v>202</v>
      </c>
      <c r="K258" t="str">
        <f t="shared" si="46"/>
        <v>4804720909</v>
      </c>
      <c r="L258" t="str">
        <f>""</f>
        <v/>
      </c>
      <c r="M258" t="str">
        <f t="shared" si="44"/>
        <v>4804720992</v>
      </c>
      <c r="N258" t="str">
        <f>""</f>
        <v/>
      </c>
      <c r="O258" t="s">
        <v>977</v>
      </c>
      <c r="P258" t="s">
        <v>978</v>
      </c>
      <c r="R258" t="s">
        <v>979</v>
      </c>
      <c r="S258" t="s">
        <v>36</v>
      </c>
      <c r="T258" t="str">
        <f t="shared" si="47"/>
        <v>85210</v>
      </c>
      <c r="U258" t="str">
        <f t="shared" si="48"/>
        <v>1096</v>
      </c>
      <c r="V258" t="s">
        <v>1066</v>
      </c>
      <c r="X258" t="s">
        <v>979</v>
      </c>
      <c r="Y258" t="s">
        <v>36</v>
      </c>
      <c r="Z258" t="str">
        <f>"85207"</f>
        <v>85207</v>
      </c>
      <c r="AA258" t="str">
        <f>"2922"</f>
        <v>2922</v>
      </c>
      <c r="AB258" t="s">
        <v>821</v>
      </c>
    </row>
    <row r="259" spans="1:28" x14ac:dyDescent="0.25">
      <c r="A259">
        <v>4235</v>
      </c>
      <c r="B259" t="str">
        <f t="shared" si="45"/>
        <v>070204000</v>
      </c>
      <c r="C259" t="s">
        <v>974</v>
      </c>
      <c r="D259">
        <v>4957</v>
      </c>
      <c r="E259" t="str">
        <f>"070204145"</f>
        <v>070204145</v>
      </c>
      <c r="F259" t="s">
        <v>1067</v>
      </c>
      <c r="G259" t="s">
        <v>42</v>
      </c>
      <c r="H259" t="s">
        <v>975</v>
      </c>
      <c r="I259" t="s">
        <v>976</v>
      </c>
      <c r="J259" t="s">
        <v>202</v>
      </c>
      <c r="K259" t="str">
        <f t="shared" si="46"/>
        <v>4804720909</v>
      </c>
      <c r="L259" t="str">
        <f>""</f>
        <v/>
      </c>
      <c r="M259" t="str">
        <f t="shared" si="44"/>
        <v>4804720992</v>
      </c>
      <c r="N259" t="str">
        <f>""</f>
        <v/>
      </c>
      <c r="O259" t="s">
        <v>977</v>
      </c>
      <c r="P259" t="s">
        <v>978</v>
      </c>
      <c r="R259" t="s">
        <v>979</v>
      </c>
      <c r="S259" t="s">
        <v>36</v>
      </c>
      <c r="T259" t="str">
        <f t="shared" si="47"/>
        <v>85210</v>
      </c>
      <c r="U259" t="str">
        <f t="shared" si="48"/>
        <v>1096</v>
      </c>
      <c r="V259" t="s">
        <v>1068</v>
      </c>
      <c r="X259" t="s">
        <v>979</v>
      </c>
      <c r="Y259" t="s">
        <v>36</v>
      </c>
      <c r="Z259" t="str">
        <f>"85204"</f>
        <v>85204</v>
      </c>
      <c r="AA259" t="str">
        <f>"6229"</f>
        <v>6229</v>
      </c>
      <c r="AB259" t="s">
        <v>821</v>
      </c>
    </row>
    <row r="260" spans="1:28" x14ac:dyDescent="0.25">
      <c r="A260">
        <v>4235</v>
      </c>
      <c r="B260" t="str">
        <f t="shared" si="45"/>
        <v>070204000</v>
      </c>
      <c r="C260" t="s">
        <v>974</v>
      </c>
      <c r="D260">
        <v>4958</v>
      </c>
      <c r="E260" t="str">
        <f>"070204146"</f>
        <v>070204146</v>
      </c>
      <c r="F260" t="s">
        <v>1069</v>
      </c>
      <c r="G260" t="s">
        <v>42</v>
      </c>
      <c r="H260" t="s">
        <v>975</v>
      </c>
      <c r="I260" t="s">
        <v>976</v>
      </c>
      <c r="J260" t="s">
        <v>202</v>
      </c>
      <c r="K260" t="str">
        <f t="shared" si="46"/>
        <v>4804720909</v>
      </c>
      <c r="L260" t="str">
        <f>""</f>
        <v/>
      </c>
      <c r="M260" t="str">
        <f t="shared" si="44"/>
        <v>4804720992</v>
      </c>
      <c r="N260" t="str">
        <f>""</f>
        <v/>
      </c>
      <c r="O260" t="s">
        <v>977</v>
      </c>
      <c r="P260" t="s">
        <v>978</v>
      </c>
      <c r="R260" t="s">
        <v>979</v>
      </c>
      <c r="S260" t="s">
        <v>36</v>
      </c>
      <c r="T260" t="str">
        <f t="shared" si="47"/>
        <v>85210</v>
      </c>
      <c r="U260" t="str">
        <f t="shared" si="48"/>
        <v>1096</v>
      </c>
      <c r="V260" t="s">
        <v>1070</v>
      </c>
      <c r="X260" t="s">
        <v>979</v>
      </c>
      <c r="Y260" t="s">
        <v>36</v>
      </c>
      <c r="Z260" t="str">
        <f>"85201"</f>
        <v>85201</v>
      </c>
      <c r="AA260" t="str">
        <f>"2339"</f>
        <v>2339</v>
      </c>
      <c r="AB260" t="s">
        <v>821</v>
      </c>
    </row>
    <row r="261" spans="1:28" x14ac:dyDescent="0.25">
      <c r="A261">
        <v>4235</v>
      </c>
      <c r="B261" t="str">
        <f t="shared" si="45"/>
        <v>070204000</v>
      </c>
      <c r="C261" t="s">
        <v>974</v>
      </c>
      <c r="D261">
        <v>4959</v>
      </c>
      <c r="E261" t="str">
        <f>"070204147"</f>
        <v>070204147</v>
      </c>
      <c r="F261" t="s">
        <v>1071</v>
      </c>
      <c r="G261" t="s">
        <v>42</v>
      </c>
      <c r="H261" t="s">
        <v>975</v>
      </c>
      <c r="I261" t="s">
        <v>976</v>
      </c>
      <c r="J261" t="s">
        <v>202</v>
      </c>
      <c r="K261" t="str">
        <f t="shared" si="46"/>
        <v>4804720909</v>
      </c>
      <c r="L261" t="str">
        <f>""</f>
        <v/>
      </c>
      <c r="M261" t="str">
        <f t="shared" ref="M261:M295" si="49">"4804720992"</f>
        <v>4804720992</v>
      </c>
      <c r="N261" t="str">
        <f>""</f>
        <v/>
      </c>
      <c r="O261" t="s">
        <v>977</v>
      </c>
      <c r="P261" t="s">
        <v>978</v>
      </c>
      <c r="R261" t="s">
        <v>979</v>
      </c>
      <c r="S261" t="s">
        <v>36</v>
      </c>
      <c r="T261" t="str">
        <f t="shared" si="47"/>
        <v>85210</v>
      </c>
      <c r="U261" t="str">
        <f t="shared" si="48"/>
        <v>1096</v>
      </c>
      <c r="V261" t="s">
        <v>1072</v>
      </c>
      <c r="X261" t="s">
        <v>979</v>
      </c>
      <c r="Y261" t="s">
        <v>36</v>
      </c>
      <c r="Z261" t="str">
        <f>"85205"</f>
        <v>85205</v>
      </c>
      <c r="AA261" t="str">
        <f>"5110"</f>
        <v>5110</v>
      </c>
      <c r="AB261" t="s">
        <v>821</v>
      </c>
    </row>
    <row r="262" spans="1:28" x14ac:dyDescent="0.25">
      <c r="A262">
        <v>4235</v>
      </c>
      <c r="B262" t="str">
        <f t="shared" si="45"/>
        <v>070204000</v>
      </c>
      <c r="C262" t="s">
        <v>974</v>
      </c>
      <c r="D262">
        <v>4960</v>
      </c>
      <c r="E262" t="str">
        <f>"070204148"</f>
        <v>070204148</v>
      </c>
      <c r="F262" t="s">
        <v>1073</v>
      </c>
      <c r="G262" t="s">
        <v>42</v>
      </c>
      <c r="H262" t="s">
        <v>975</v>
      </c>
      <c r="I262" t="s">
        <v>976</v>
      </c>
      <c r="J262" t="s">
        <v>202</v>
      </c>
      <c r="K262" t="str">
        <f t="shared" si="46"/>
        <v>4804720909</v>
      </c>
      <c r="L262" t="str">
        <f>""</f>
        <v/>
      </c>
      <c r="M262" t="str">
        <f t="shared" si="49"/>
        <v>4804720992</v>
      </c>
      <c r="N262" t="str">
        <f>""</f>
        <v/>
      </c>
      <c r="O262" t="s">
        <v>977</v>
      </c>
      <c r="P262" t="s">
        <v>978</v>
      </c>
      <c r="R262" t="s">
        <v>979</v>
      </c>
      <c r="S262" t="s">
        <v>36</v>
      </c>
      <c r="T262" t="str">
        <f t="shared" si="47"/>
        <v>85210</v>
      </c>
      <c r="U262" t="str">
        <f t="shared" si="48"/>
        <v>1096</v>
      </c>
      <c r="V262" t="s">
        <v>1074</v>
      </c>
      <c r="X262" t="s">
        <v>979</v>
      </c>
      <c r="Y262" t="s">
        <v>36</v>
      </c>
      <c r="Z262" t="str">
        <f>"85215"</f>
        <v>85215</v>
      </c>
      <c r="AA262" t="str">
        <f>"9771"</f>
        <v>9771</v>
      </c>
      <c r="AB262" t="s">
        <v>821</v>
      </c>
    </row>
    <row r="263" spans="1:28" x14ac:dyDescent="0.25">
      <c r="A263">
        <v>4235</v>
      </c>
      <c r="B263" t="str">
        <f t="shared" si="45"/>
        <v>070204000</v>
      </c>
      <c r="C263" t="s">
        <v>974</v>
      </c>
      <c r="D263">
        <v>4961</v>
      </c>
      <c r="E263" t="str">
        <f>"070204149"</f>
        <v>070204149</v>
      </c>
      <c r="F263" t="s">
        <v>1075</v>
      </c>
      <c r="G263" t="s">
        <v>42</v>
      </c>
      <c r="H263" t="s">
        <v>975</v>
      </c>
      <c r="I263" t="s">
        <v>976</v>
      </c>
      <c r="J263" t="s">
        <v>202</v>
      </c>
      <c r="K263" t="str">
        <f t="shared" si="46"/>
        <v>4804720909</v>
      </c>
      <c r="L263" t="str">
        <f>""</f>
        <v/>
      </c>
      <c r="M263" t="str">
        <f t="shared" si="49"/>
        <v>4804720992</v>
      </c>
      <c r="N263" t="str">
        <f>""</f>
        <v/>
      </c>
      <c r="O263" t="s">
        <v>977</v>
      </c>
      <c r="P263" t="s">
        <v>978</v>
      </c>
      <c r="R263" t="s">
        <v>979</v>
      </c>
      <c r="S263" t="s">
        <v>36</v>
      </c>
      <c r="T263" t="str">
        <f t="shared" si="47"/>
        <v>85210</v>
      </c>
      <c r="U263" t="str">
        <f t="shared" si="48"/>
        <v>1096</v>
      </c>
      <c r="V263" t="s">
        <v>1076</v>
      </c>
      <c r="X263" t="s">
        <v>979</v>
      </c>
      <c r="Y263" t="s">
        <v>36</v>
      </c>
      <c r="Z263" t="str">
        <f>"85205"</f>
        <v>85205</v>
      </c>
      <c r="AA263" t="str">
        <f>"3314"</f>
        <v>3314</v>
      </c>
      <c r="AB263" t="s">
        <v>821</v>
      </c>
    </row>
    <row r="264" spans="1:28" x14ac:dyDescent="0.25">
      <c r="A264">
        <v>4235</v>
      </c>
      <c r="B264" t="str">
        <f t="shared" si="45"/>
        <v>070204000</v>
      </c>
      <c r="C264" t="s">
        <v>974</v>
      </c>
      <c r="D264">
        <v>4962</v>
      </c>
      <c r="E264" t="str">
        <f>"070204150"</f>
        <v>070204150</v>
      </c>
      <c r="F264" t="s">
        <v>1077</v>
      </c>
      <c r="G264" t="s">
        <v>42</v>
      </c>
      <c r="H264" t="s">
        <v>975</v>
      </c>
      <c r="I264" t="s">
        <v>976</v>
      </c>
      <c r="J264" t="s">
        <v>202</v>
      </c>
      <c r="K264" t="str">
        <f t="shared" si="46"/>
        <v>4804720909</v>
      </c>
      <c r="L264" t="str">
        <f>""</f>
        <v/>
      </c>
      <c r="M264" t="str">
        <f t="shared" si="49"/>
        <v>4804720992</v>
      </c>
      <c r="N264" t="str">
        <f>""</f>
        <v/>
      </c>
      <c r="O264" t="s">
        <v>977</v>
      </c>
      <c r="P264" t="s">
        <v>978</v>
      </c>
      <c r="R264" t="s">
        <v>979</v>
      </c>
      <c r="S264" t="s">
        <v>36</v>
      </c>
      <c r="T264" t="str">
        <f t="shared" si="47"/>
        <v>85210</v>
      </c>
      <c r="U264" t="str">
        <f t="shared" si="48"/>
        <v>1096</v>
      </c>
      <c r="V264" t="s">
        <v>1078</v>
      </c>
      <c r="X264" t="s">
        <v>979</v>
      </c>
      <c r="Y264" t="s">
        <v>36</v>
      </c>
      <c r="Z264" t="str">
        <f>"85207"</f>
        <v>85207</v>
      </c>
      <c r="AA264" t="str">
        <f>"1068"</f>
        <v>1068</v>
      </c>
      <c r="AB264" t="s">
        <v>821</v>
      </c>
    </row>
    <row r="265" spans="1:28" x14ac:dyDescent="0.25">
      <c r="A265">
        <v>4235</v>
      </c>
      <c r="B265" t="str">
        <f t="shared" si="45"/>
        <v>070204000</v>
      </c>
      <c r="C265" t="s">
        <v>974</v>
      </c>
      <c r="D265">
        <v>4965</v>
      </c>
      <c r="E265" t="str">
        <f>"070204183"</f>
        <v>070204183</v>
      </c>
      <c r="F265" t="s">
        <v>1079</v>
      </c>
      <c r="G265" t="s">
        <v>42</v>
      </c>
      <c r="H265" t="s">
        <v>975</v>
      </c>
      <c r="I265" t="s">
        <v>976</v>
      </c>
      <c r="J265" t="s">
        <v>202</v>
      </c>
      <c r="K265" t="str">
        <f t="shared" si="46"/>
        <v>4804720909</v>
      </c>
      <c r="L265" t="str">
        <f>""</f>
        <v/>
      </c>
      <c r="M265" t="str">
        <f t="shared" si="49"/>
        <v>4804720992</v>
      </c>
      <c r="N265" t="str">
        <f>""</f>
        <v/>
      </c>
      <c r="O265" t="s">
        <v>977</v>
      </c>
      <c r="P265" t="s">
        <v>978</v>
      </c>
      <c r="R265" t="s">
        <v>979</v>
      </c>
      <c r="S265" t="s">
        <v>36</v>
      </c>
      <c r="T265" t="str">
        <f t="shared" si="47"/>
        <v>85210</v>
      </c>
      <c r="U265" t="str">
        <f t="shared" si="48"/>
        <v>1096</v>
      </c>
      <c r="V265" t="s">
        <v>1080</v>
      </c>
      <c r="X265" t="s">
        <v>979</v>
      </c>
      <c r="Y265" t="s">
        <v>36</v>
      </c>
      <c r="Z265" t="str">
        <f>"85207"</f>
        <v>85207</v>
      </c>
      <c r="AA265" t="str">
        <f>"4702"</f>
        <v>4702</v>
      </c>
      <c r="AB265" t="s">
        <v>821</v>
      </c>
    </row>
    <row r="266" spans="1:28" x14ac:dyDescent="0.25">
      <c r="A266">
        <v>4235</v>
      </c>
      <c r="B266" t="str">
        <f t="shared" si="45"/>
        <v>070204000</v>
      </c>
      <c r="C266" t="s">
        <v>974</v>
      </c>
      <c r="D266">
        <v>4966</v>
      </c>
      <c r="E266" t="str">
        <f>"070204184"</f>
        <v>070204184</v>
      </c>
      <c r="F266" t="s">
        <v>1081</v>
      </c>
      <c r="G266" t="s">
        <v>42</v>
      </c>
      <c r="H266" t="s">
        <v>975</v>
      </c>
      <c r="I266" t="s">
        <v>976</v>
      </c>
      <c r="J266" t="s">
        <v>202</v>
      </c>
      <c r="K266" t="str">
        <f t="shared" si="46"/>
        <v>4804720909</v>
      </c>
      <c r="L266" t="str">
        <f>""</f>
        <v/>
      </c>
      <c r="M266" t="str">
        <f t="shared" si="49"/>
        <v>4804720992</v>
      </c>
      <c r="N266" t="str">
        <f>""</f>
        <v/>
      </c>
      <c r="O266" t="s">
        <v>977</v>
      </c>
      <c r="P266" t="s">
        <v>978</v>
      </c>
      <c r="R266" t="s">
        <v>979</v>
      </c>
      <c r="S266" t="s">
        <v>36</v>
      </c>
      <c r="T266" t="str">
        <f t="shared" si="47"/>
        <v>85210</v>
      </c>
      <c r="U266" t="str">
        <f t="shared" si="48"/>
        <v>1096</v>
      </c>
      <c r="V266" t="s">
        <v>1082</v>
      </c>
      <c r="X266" t="s">
        <v>979</v>
      </c>
      <c r="Y266" t="s">
        <v>36</v>
      </c>
      <c r="Z266" t="str">
        <f>"85201"</f>
        <v>85201</v>
      </c>
      <c r="AA266" t="str">
        <f>"2102"</f>
        <v>2102</v>
      </c>
      <c r="AB266" t="s">
        <v>821</v>
      </c>
    </row>
    <row r="267" spans="1:28" x14ac:dyDescent="0.25">
      <c r="A267">
        <v>4235</v>
      </c>
      <c r="B267" t="str">
        <f t="shared" si="45"/>
        <v>070204000</v>
      </c>
      <c r="C267" t="s">
        <v>974</v>
      </c>
      <c r="D267">
        <v>4967</v>
      </c>
      <c r="E267" t="str">
        <f>"070204195"</f>
        <v>070204195</v>
      </c>
      <c r="F267" t="s">
        <v>1083</v>
      </c>
      <c r="G267" t="s">
        <v>42</v>
      </c>
      <c r="H267" t="s">
        <v>975</v>
      </c>
      <c r="I267" t="s">
        <v>976</v>
      </c>
      <c r="J267" t="s">
        <v>202</v>
      </c>
      <c r="K267" t="str">
        <f t="shared" si="46"/>
        <v>4804720909</v>
      </c>
      <c r="L267" t="str">
        <f>""</f>
        <v/>
      </c>
      <c r="M267" t="str">
        <f t="shared" si="49"/>
        <v>4804720992</v>
      </c>
      <c r="N267" t="str">
        <f>""</f>
        <v/>
      </c>
      <c r="O267" t="s">
        <v>977</v>
      </c>
      <c r="P267" t="s">
        <v>978</v>
      </c>
      <c r="R267" t="s">
        <v>979</v>
      </c>
      <c r="S267" t="s">
        <v>36</v>
      </c>
      <c r="T267" t="str">
        <f t="shared" si="47"/>
        <v>85210</v>
      </c>
      <c r="U267" t="str">
        <f>"1090"</f>
        <v>1090</v>
      </c>
      <c r="V267" t="s">
        <v>1084</v>
      </c>
      <c r="X267" t="s">
        <v>979</v>
      </c>
      <c r="Y267" t="s">
        <v>36</v>
      </c>
      <c r="Z267" t="str">
        <f>"85202"</f>
        <v>85202</v>
      </c>
      <c r="AA267" t="str">
        <f>"6610"</f>
        <v>6610</v>
      </c>
      <c r="AB267" t="s">
        <v>821</v>
      </c>
    </row>
    <row r="268" spans="1:28" x14ac:dyDescent="0.25">
      <c r="A268">
        <v>4235</v>
      </c>
      <c r="B268" t="str">
        <f t="shared" si="45"/>
        <v>070204000</v>
      </c>
      <c r="C268" t="s">
        <v>974</v>
      </c>
      <c r="D268">
        <v>4969</v>
      </c>
      <c r="E268" t="str">
        <f>"070204252"</f>
        <v>070204252</v>
      </c>
      <c r="F268" t="s">
        <v>1085</v>
      </c>
      <c r="G268" t="s">
        <v>42</v>
      </c>
      <c r="H268" t="s">
        <v>975</v>
      </c>
      <c r="I268" t="s">
        <v>976</v>
      </c>
      <c r="J268" t="s">
        <v>202</v>
      </c>
      <c r="K268" t="str">
        <f t="shared" si="46"/>
        <v>4804720909</v>
      </c>
      <c r="L268" t="str">
        <f>""</f>
        <v/>
      </c>
      <c r="M268" t="str">
        <f t="shared" si="49"/>
        <v>4804720992</v>
      </c>
      <c r="N268" t="str">
        <f>""</f>
        <v/>
      </c>
      <c r="O268" t="s">
        <v>977</v>
      </c>
      <c r="P268" t="s">
        <v>978</v>
      </c>
      <c r="R268" t="s">
        <v>979</v>
      </c>
      <c r="S268" t="s">
        <v>36</v>
      </c>
      <c r="T268" t="str">
        <f t="shared" si="47"/>
        <v>85210</v>
      </c>
      <c r="U268" t="str">
        <f t="shared" ref="U268:U292" si="50">"1096"</f>
        <v>1096</v>
      </c>
      <c r="V268" t="s">
        <v>1086</v>
      </c>
      <c r="X268" t="s">
        <v>979</v>
      </c>
      <c r="Y268" t="s">
        <v>36</v>
      </c>
      <c r="Z268" t="str">
        <f>"85201"</f>
        <v>85201</v>
      </c>
      <c r="AA268" t="str">
        <f>"5527"</f>
        <v>5527</v>
      </c>
      <c r="AB268" t="s">
        <v>821</v>
      </c>
    </row>
    <row r="269" spans="1:28" x14ac:dyDescent="0.25">
      <c r="A269">
        <v>4235</v>
      </c>
      <c r="B269" t="str">
        <f t="shared" si="45"/>
        <v>070204000</v>
      </c>
      <c r="C269" t="s">
        <v>974</v>
      </c>
      <c r="D269">
        <v>4970</v>
      </c>
      <c r="E269" t="str">
        <f>"070204253"</f>
        <v>070204253</v>
      </c>
      <c r="F269" t="s">
        <v>1087</v>
      </c>
      <c r="G269" t="s">
        <v>42</v>
      </c>
      <c r="H269" t="s">
        <v>975</v>
      </c>
      <c r="I269" t="s">
        <v>976</v>
      </c>
      <c r="J269" t="s">
        <v>202</v>
      </c>
      <c r="K269" t="str">
        <f t="shared" si="46"/>
        <v>4804720909</v>
      </c>
      <c r="L269" t="str">
        <f>""</f>
        <v/>
      </c>
      <c r="M269" t="str">
        <f t="shared" si="49"/>
        <v>4804720992</v>
      </c>
      <c r="N269" t="str">
        <f>""</f>
        <v/>
      </c>
      <c r="O269" t="s">
        <v>977</v>
      </c>
      <c r="P269" t="s">
        <v>978</v>
      </c>
      <c r="R269" t="s">
        <v>979</v>
      </c>
      <c r="S269" t="s">
        <v>36</v>
      </c>
      <c r="T269" t="str">
        <f t="shared" si="47"/>
        <v>85210</v>
      </c>
      <c r="U269" t="str">
        <f t="shared" si="50"/>
        <v>1096</v>
      </c>
      <c r="V269" t="s">
        <v>1088</v>
      </c>
      <c r="X269" t="s">
        <v>979</v>
      </c>
      <c r="Y269" t="s">
        <v>36</v>
      </c>
      <c r="Z269" t="str">
        <f>"85203"</f>
        <v>85203</v>
      </c>
      <c r="AA269" t="str">
        <f>"4806"</f>
        <v>4806</v>
      </c>
      <c r="AB269" t="s">
        <v>821</v>
      </c>
    </row>
    <row r="270" spans="1:28" x14ac:dyDescent="0.25">
      <c r="A270">
        <v>4235</v>
      </c>
      <c r="B270" t="str">
        <f t="shared" si="45"/>
        <v>070204000</v>
      </c>
      <c r="C270" t="s">
        <v>974</v>
      </c>
      <c r="D270">
        <v>4971</v>
      </c>
      <c r="E270" t="str">
        <f>"070204254"</f>
        <v>070204254</v>
      </c>
      <c r="F270" t="s">
        <v>1089</v>
      </c>
      <c r="G270" t="s">
        <v>42</v>
      </c>
      <c r="H270" t="s">
        <v>975</v>
      </c>
      <c r="I270" t="s">
        <v>976</v>
      </c>
      <c r="J270" t="s">
        <v>202</v>
      </c>
      <c r="K270" t="str">
        <f t="shared" si="46"/>
        <v>4804720909</v>
      </c>
      <c r="L270" t="str">
        <f>""</f>
        <v/>
      </c>
      <c r="M270" t="str">
        <f t="shared" si="49"/>
        <v>4804720992</v>
      </c>
      <c r="N270" t="str">
        <f>""</f>
        <v/>
      </c>
      <c r="O270" t="s">
        <v>977</v>
      </c>
      <c r="P270" t="s">
        <v>978</v>
      </c>
      <c r="R270" t="s">
        <v>979</v>
      </c>
      <c r="S270" t="s">
        <v>36</v>
      </c>
      <c r="T270" t="str">
        <f t="shared" si="47"/>
        <v>85210</v>
      </c>
      <c r="U270" t="str">
        <f t="shared" si="50"/>
        <v>1096</v>
      </c>
      <c r="V270" t="s">
        <v>1090</v>
      </c>
      <c r="X270" t="s">
        <v>979</v>
      </c>
      <c r="Y270" t="s">
        <v>36</v>
      </c>
      <c r="Z270" t="str">
        <f>"85205"</f>
        <v>85205</v>
      </c>
      <c r="AA270" t="str">
        <f>"5701"</f>
        <v>5701</v>
      </c>
      <c r="AB270" t="s">
        <v>821</v>
      </c>
    </row>
    <row r="271" spans="1:28" x14ac:dyDescent="0.25">
      <c r="A271">
        <v>4235</v>
      </c>
      <c r="B271" t="str">
        <f t="shared" si="45"/>
        <v>070204000</v>
      </c>
      <c r="C271" t="s">
        <v>974</v>
      </c>
      <c r="D271">
        <v>4973</v>
      </c>
      <c r="E271" t="str">
        <f>"070204256"</f>
        <v>070204256</v>
      </c>
      <c r="F271" t="s">
        <v>1091</v>
      </c>
      <c r="G271" t="s">
        <v>42</v>
      </c>
      <c r="H271" t="s">
        <v>975</v>
      </c>
      <c r="I271" t="s">
        <v>976</v>
      </c>
      <c r="J271" t="s">
        <v>202</v>
      </c>
      <c r="K271" t="str">
        <f t="shared" si="46"/>
        <v>4804720909</v>
      </c>
      <c r="L271" t="str">
        <f>""</f>
        <v/>
      </c>
      <c r="M271" t="str">
        <f t="shared" si="49"/>
        <v>4804720992</v>
      </c>
      <c r="N271" t="str">
        <f>""</f>
        <v/>
      </c>
      <c r="O271" t="s">
        <v>977</v>
      </c>
      <c r="P271" t="s">
        <v>978</v>
      </c>
      <c r="R271" t="s">
        <v>979</v>
      </c>
      <c r="S271" t="s">
        <v>36</v>
      </c>
      <c r="T271" t="str">
        <f t="shared" si="47"/>
        <v>85210</v>
      </c>
      <c r="U271" t="str">
        <f t="shared" si="50"/>
        <v>1096</v>
      </c>
      <c r="V271" t="s">
        <v>1092</v>
      </c>
      <c r="X271" t="s">
        <v>979</v>
      </c>
      <c r="Y271" t="s">
        <v>36</v>
      </c>
      <c r="Z271" t="str">
        <f>"85213"</f>
        <v>85213</v>
      </c>
      <c r="AA271" t="str">
        <f>"6803"</f>
        <v>6803</v>
      </c>
      <c r="AB271" t="s">
        <v>821</v>
      </c>
    </row>
    <row r="272" spans="1:28" x14ac:dyDescent="0.25">
      <c r="A272">
        <v>4235</v>
      </c>
      <c r="B272" t="str">
        <f t="shared" si="45"/>
        <v>070204000</v>
      </c>
      <c r="C272" t="s">
        <v>974</v>
      </c>
      <c r="D272">
        <v>4974</v>
      </c>
      <c r="E272" t="str">
        <f>"070204257"</f>
        <v>070204257</v>
      </c>
      <c r="F272" t="s">
        <v>1093</v>
      </c>
      <c r="G272" t="s">
        <v>42</v>
      </c>
      <c r="H272" t="s">
        <v>975</v>
      </c>
      <c r="I272" t="s">
        <v>976</v>
      </c>
      <c r="J272" t="s">
        <v>202</v>
      </c>
      <c r="K272" t="str">
        <f t="shared" si="46"/>
        <v>4804720909</v>
      </c>
      <c r="L272" t="str">
        <f>""</f>
        <v/>
      </c>
      <c r="M272" t="str">
        <f t="shared" si="49"/>
        <v>4804720992</v>
      </c>
      <c r="N272" t="str">
        <f>""</f>
        <v/>
      </c>
      <c r="O272" t="s">
        <v>977</v>
      </c>
      <c r="P272" t="s">
        <v>978</v>
      </c>
      <c r="R272" t="s">
        <v>979</v>
      </c>
      <c r="S272" t="s">
        <v>36</v>
      </c>
      <c r="T272" t="str">
        <f t="shared" si="47"/>
        <v>85210</v>
      </c>
      <c r="U272" t="str">
        <f t="shared" si="50"/>
        <v>1096</v>
      </c>
      <c r="V272" t="s">
        <v>1094</v>
      </c>
      <c r="X272" t="s">
        <v>979</v>
      </c>
      <c r="Y272" t="s">
        <v>36</v>
      </c>
      <c r="Z272" t="str">
        <f>"85202"</f>
        <v>85202</v>
      </c>
      <c r="AA272" t="str">
        <f>"5716"</f>
        <v>5716</v>
      </c>
      <c r="AB272" t="s">
        <v>821</v>
      </c>
    </row>
    <row r="273" spans="1:28" x14ac:dyDescent="0.25">
      <c r="A273">
        <v>4235</v>
      </c>
      <c r="B273" t="str">
        <f t="shared" si="45"/>
        <v>070204000</v>
      </c>
      <c r="C273" t="s">
        <v>974</v>
      </c>
      <c r="D273">
        <v>4975</v>
      </c>
      <c r="E273" t="str">
        <f>"070204258"</f>
        <v>070204258</v>
      </c>
      <c r="F273" t="s">
        <v>1095</v>
      </c>
      <c r="G273" t="s">
        <v>42</v>
      </c>
      <c r="H273" t="s">
        <v>975</v>
      </c>
      <c r="I273" t="s">
        <v>976</v>
      </c>
      <c r="J273" t="s">
        <v>202</v>
      </c>
      <c r="K273" t="str">
        <f t="shared" si="46"/>
        <v>4804720909</v>
      </c>
      <c r="L273" t="str">
        <f>""</f>
        <v/>
      </c>
      <c r="M273" t="str">
        <f t="shared" si="49"/>
        <v>4804720992</v>
      </c>
      <c r="N273" t="str">
        <f>""</f>
        <v/>
      </c>
      <c r="O273" t="s">
        <v>977</v>
      </c>
      <c r="P273" t="s">
        <v>978</v>
      </c>
      <c r="R273" t="s">
        <v>979</v>
      </c>
      <c r="S273" t="s">
        <v>36</v>
      </c>
      <c r="T273" t="str">
        <f t="shared" si="47"/>
        <v>85210</v>
      </c>
      <c r="U273" t="str">
        <f t="shared" si="50"/>
        <v>1096</v>
      </c>
      <c r="V273" t="s">
        <v>1096</v>
      </c>
      <c r="X273" t="s">
        <v>979</v>
      </c>
      <c r="Y273" t="s">
        <v>36</v>
      </c>
      <c r="Z273" t="str">
        <f>"85204"</f>
        <v>85204</v>
      </c>
      <c r="AA273" t="str">
        <f>"3943"</f>
        <v>3943</v>
      </c>
      <c r="AB273" t="s">
        <v>821</v>
      </c>
    </row>
    <row r="274" spans="1:28" x14ac:dyDescent="0.25">
      <c r="A274">
        <v>4235</v>
      </c>
      <c r="B274" t="str">
        <f t="shared" si="45"/>
        <v>070204000</v>
      </c>
      <c r="C274" t="s">
        <v>974</v>
      </c>
      <c r="D274">
        <v>4977</v>
      </c>
      <c r="E274" t="str">
        <f>"070204260"</f>
        <v>070204260</v>
      </c>
      <c r="F274" t="s">
        <v>1097</v>
      </c>
      <c r="G274" t="s">
        <v>42</v>
      </c>
      <c r="H274" t="s">
        <v>975</v>
      </c>
      <c r="I274" t="s">
        <v>976</v>
      </c>
      <c r="J274" t="s">
        <v>202</v>
      </c>
      <c r="K274" t="str">
        <f t="shared" si="46"/>
        <v>4804720909</v>
      </c>
      <c r="L274" t="str">
        <f>""</f>
        <v/>
      </c>
      <c r="M274" t="str">
        <f t="shared" si="49"/>
        <v>4804720992</v>
      </c>
      <c r="N274" t="str">
        <f>""</f>
        <v/>
      </c>
      <c r="O274" t="s">
        <v>977</v>
      </c>
      <c r="P274" t="s">
        <v>978</v>
      </c>
      <c r="R274" t="s">
        <v>979</v>
      </c>
      <c r="S274" t="s">
        <v>36</v>
      </c>
      <c r="T274" t="str">
        <f t="shared" si="47"/>
        <v>85210</v>
      </c>
      <c r="U274" t="str">
        <f t="shared" si="50"/>
        <v>1096</v>
      </c>
      <c r="V274" t="s">
        <v>1098</v>
      </c>
      <c r="X274" t="s">
        <v>979</v>
      </c>
      <c r="Y274" t="s">
        <v>36</v>
      </c>
      <c r="Z274" t="str">
        <f>"85205"</f>
        <v>85205</v>
      </c>
      <c r="AA274" t="str">
        <f>"4424"</f>
        <v>4424</v>
      </c>
      <c r="AB274" t="s">
        <v>821</v>
      </c>
    </row>
    <row r="275" spans="1:28" x14ac:dyDescent="0.25">
      <c r="A275">
        <v>4235</v>
      </c>
      <c r="B275" t="str">
        <f t="shared" si="45"/>
        <v>070204000</v>
      </c>
      <c r="C275" t="s">
        <v>974</v>
      </c>
      <c r="D275">
        <v>4979</v>
      </c>
      <c r="E275" t="str">
        <f>"070204262"</f>
        <v>070204262</v>
      </c>
      <c r="F275" t="s">
        <v>1099</v>
      </c>
      <c r="G275" t="s">
        <v>42</v>
      </c>
      <c r="H275" t="s">
        <v>975</v>
      </c>
      <c r="I275" t="s">
        <v>976</v>
      </c>
      <c r="J275" t="s">
        <v>202</v>
      </c>
      <c r="K275" t="str">
        <f t="shared" si="46"/>
        <v>4804720909</v>
      </c>
      <c r="L275" t="str">
        <f>""</f>
        <v/>
      </c>
      <c r="M275" t="str">
        <f t="shared" si="49"/>
        <v>4804720992</v>
      </c>
      <c r="N275" t="str">
        <f>""</f>
        <v/>
      </c>
      <c r="O275" t="s">
        <v>977</v>
      </c>
      <c r="P275" t="s">
        <v>978</v>
      </c>
      <c r="R275" t="s">
        <v>979</v>
      </c>
      <c r="S275" t="s">
        <v>36</v>
      </c>
      <c r="T275" t="str">
        <f t="shared" si="47"/>
        <v>85210</v>
      </c>
      <c r="U275" t="str">
        <f t="shared" si="50"/>
        <v>1096</v>
      </c>
      <c r="V275" t="s">
        <v>1100</v>
      </c>
      <c r="X275" t="s">
        <v>979</v>
      </c>
      <c r="Y275" t="s">
        <v>36</v>
      </c>
      <c r="Z275" t="str">
        <f>"85213"</f>
        <v>85213</v>
      </c>
      <c r="AA275" t="str">
        <f>"1702"</f>
        <v>1702</v>
      </c>
      <c r="AB275" t="s">
        <v>821</v>
      </c>
    </row>
    <row r="276" spans="1:28" x14ac:dyDescent="0.25">
      <c r="A276">
        <v>4235</v>
      </c>
      <c r="B276" t="str">
        <f t="shared" si="45"/>
        <v>070204000</v>
      </c>
      <c r="C276" t="s">
        <v>974</v>
      </c>
      <c r="D276">
        <v>4980</v>
      </c>
      <c r="E276" t="str">
        <f>"070204271"</f>
        <v>070204271</v>
      </c>
      <c r="F276" t="s">
        <v>1101</v>
      </c>
      <c r="G276" t="s">
        <v>42</v>
      </c>
      <c r="H276" t="s">
        <v>975</v>
      </c>
      <c r="I276" t="s">
        <v>976</v>
      </c>
      <c r="J276" t="s">
        <v>202</v>
      </c>
      <c r="K276" t="str">
        <f t="shared" si="46"/>
        <v>4804720909</v>
      </c>
      <c r="L276" t="str">
        <f>""</f>
        <v/>
      </c>
      <c r="M276" t="str">
        <f t="shared" si="49"/>
        <v>4804720992</v>
      </c>
      <c r="N276" t="str">
        <f>""</f>
        <v/>
      </c>
      <c r="O276" t="s">
        <v>977</v>
      </c>
      <c r="P276" t="s">
        <v>978</v>
      </c>
      <c r="R276" t="s">
        <v>979</v>
      </c>
      <c r="S276" t="s">
        <v>36</v>
      </c>
      <c r="T276" t="str">
        <f t="shared" si="47"/>
        <v>85210</v>
      </c>
      <c r="U276" t="str">
        <f t="shared" si="50"/>
        <v>1096</v>
      </c>
      <c r="V276" t="s">
        <v>1102</v>
      </c>
      <c r="X276" t="s">
        <v>979</v>
      </c>
      <c r="Y276" t="s">
        <v>36</v>
      </c>
      <c r="Z276" t="str">
        <f>"85204"</f>
        <v>85204</v>
      </c>
      <c r="AA276" t="str">
        <f>"5220"</f>
        <v>5220</v>
      </c>
      <c r="AB276" t="s">
        <v>821</v>
      </c>
    </row>
    <row r="277" spans="1:28" x14ac:dyDescent="0.25">
      <c r="A277">
        <v>4235</v>
      </c>
      <c r="B277" t="str">
        <f t="shared" si="45"/>
        <v>070204000</v>
      </c>
      <c r="C277" t="s">
        <v>974</v>
      </c>
      <c r="D277">
        <v>4981</v>
      </c>
      <c r="E277" t="str">
        <f>"070204272"</f>
        <v>070204272</v>
      </c>
      <c r="F277" t="s">
        <v>1103</v>
      </c>
      <c r="G277" t="s">
        <v>42</v>
      </c>
      <c r="H277" t="s">
        <v>975</v>
      </c>
      <c r="I277" t="s">
        <v>976</v>
      </c>
      <c r="J277" t="s">
        <v>202</v>
      </c>
      <c r="K277" t="str">
        <f t="shared" si="46"/>
        <v>4804720909</v>
      </c>
      <c r="L277" t="str">
        <f>""</f>
        <v/>
      </c>
      <c r="M277" t="str">
        <f t="shared" si="49"/>
        <v>4804720992</v>
      </c>
      <c r="N277" t="str">
        <f>""</f>
        <v/>
      </c>
      <c r="O277" t="s">
        <v>977</v>
      </c>
      <c r="P277" t="s">
        <v>978</v>
      </c>
      <c r="R277" t="s">
        <v>979</v>
      </c>
      <c r="S277" t="s">
        <v>36</v>
      </c>
      <c r="T277" t="str">
        <f t="shared" si="47"/>
        <v>85210</v>
      </c>
      <c r="U277" t="str">
        <f t="shared" si="50"/>
        <v>1096</v>
      </c>
      <c r="V277" t="s">
        <v>1104</v>
      </c>
      <c r="X277" t="s">
        <v>979</v>
      </c>
      <c r="Y277" t="s">
        <v>36</v>
      </c>
      <c r="Z277" t="str">
        <f>"85201"</f>
        <v>85201</v>
      </c>
      <c r="AA277" t="str">
        <f>"3902"</f>
        <v>3902</v>
      </c>
      <c r="AB277" t="s">
        <v>821</v>
      </c>
    </row>
    <row r="278" spans="1:28" x14ac:dyDescent="0.25">
      <c r="A278">
        <v>4235</v>
      </c>
      <c r="B278" t="str">
        <f t="shared" si="45"/>
        <v>070204000</v>
      </c>
      <c r="C278" t="s">
        <v>974</v>
      </c>
      <c r="D278">
        <v>4982</v>
      </c>
      <c r="E278" t="str">
        <f>"070204273"</f>
        <v>070204273</v>
      </c>
      <c r="F278" t="s">
        <v>1105</v>
      </c>
      <c r="G278" t="s">
        <v>42</v>
      </c>
      <c r="H278" t="s">
        <v>975</v>
      </c>
      <c r="I278" t="s">
        <v>976</v>
      </c>
      <c r="J278" t="s">
        <v>202</v>
      </c>
      <c r="K278" t="str">
        <f t="shared" si="46"/>
        <v>4804720909</v>
      </c>
      <c r="L278" t="str">
        <f>""</f>
        <v/>
      </c>
      <c r="M278" t="str">
        <f t="shared" si="49"/>
        <v>4804720992</v>
      </c>
      <c r="N278" t="str">
        <f>""</f>
        <v/>
      </c>
      <c r="O278" t="s">
        <v>977</v>
      </c>
      <c r="P278" t="s">
        <v>978</v>
      </c>
      <c r="R278" t="s">
        <v>979</v>
      </c>
      <c r="S278" t="s">
        <v>36</v>
      </c>
      <c r="T278" t="str">
        <f t="shared" si="47"/>
        <v>85210</v>
      </c>
      <c r="U278" t="str">
        <f t="shared" si="50"/>
        <v>1096</v>
      </c>
      <c r="V278" t="s">
        <v>1106</v>
      </c>
      <c r="X278" t="s">
        <v>979</v>
      </c>
      <c r="Y278" t="s">
        <v>36</v>
      </c>
      <c r="Z278" t="str">
        <f>"85213"</f>
        <v>85213</v>
      </c>
      <c r="AA278" t="str">
        <f>"5315"</f>
        <v>5315</v>
      </c>
      <c r="AB278" t="s">
        <v>821</v>
      </c>
    </row>
    <row r="279" spans="1:28" x14ac:dyDescent="0.25">
      <c r="A279">
        <v>4235</v>
      </c>
      <c r="B279" t="str">
        <f t="shared" si="45"/>
        <v>070204000</v>
      </c>
      <c r="C279" t="s">
        <v>974</v>
      </c>
      <c r="D279">
        <v>4983</v>
      </c>
      <c r="E279" t="str">
        <f>"070204274"</f>
        <v>070204274</v>
      </c>
      <c r="F279" t="s">
        <v>1107</v>
      </c>
      <c r="G279" t="s">
        <v>42</v>
      </c>
      <c r="H279" t="s">
        <v>975</v>
      </c>
      <c r="I279" t="s">
        <v>976</v>
      </c>
      <c r="J279" t="s">
        <v>202</v>
      </c>
      <c r="K279" t="str">
        <f t="shared" si="46"/>
        <v>4804720909</v>
      </c>
      <c r="L279" t="str">
        <f>""</f>
        <v/>
      </c>
      <c r="M279" t="str">
        <f t="shared" si="49"/>
        <v>4804720992</v>
      </c>
      <c r="N279" t="str">
        <f>""</f>
        <v/>
      </c>
      <c r="O279" t="s">
        <v>977</v>
      </c>
      <c r="P279" t="s">
        <v>978</v>
      </c>
      <c r="R279" t="s">
        <v>979</v>
      </c>
      <c r="S279" t="s">
        <v>36</v>
      </c>
      <c r="T279" t="str">
        <f t="shared" si="47"/>
        <v>85210</v>
      </c>
      <c r="U279" t="str">
        <f t="shared" si="50"/>
        <v>1096</v>
      </c>
      <c r="V279" t="s">
        <v>1108</v>
      </c>
      <c r="X279" t="s">
        <v>979</v>
      </c>
      <c r="Y279" t="s">
        <v>36</v>
      </c>
      <c r="Z279" t="str">
        <f>"85202"</f>
        <v>85202</v>
      </c>
      <c r="AA279" t="str">
        <f>"7575"</f>
        <v>7575</v>
      </c>
      <c r="AB279" t="s">
        <v>821</v>
      </c>
    </row>
    <row r="280" spans="1:28" x14ac:dyDescent="0.25">
      <c r="A280">
        <v>4235</v>
      </c>
      <c r="B280" t="str">
        <f t="shared" si="45"/>
        <v>070204000</v>
      </c>
      <c r="C280" t="s">
        <v>974</v>
      </c>
      <c r="D280">
        <v>4984</v>
      </c>
      <c r="E280" t="str">
        <f>"070204275"</f>
        <v>070204275</v>
      </c>
      <c r="F280" t="s">
        <v>1109</v>
      </c>
      <c r="G280" t="s">
        <v>42</v>
      </c>
      <c r="H280" t="s">
        <v>975</v>
      </c>
      <c r="I280" t="s">
        <v>976</v>
      </c>
      <c r="J280" t="s">
        <v>202</v>
      </c>
      <c r="K280" t="str">
        <f t="shared" si="46"/>
        <v>4804720909</v>
      </c>
      <c r="L280" t="str">
        <f>""</f>
        <v/>
      </c>
      <c r="M280" t="str">
        <f t="shared" si="49"/>
        <v>4804720992</v>
      </c>
      <c r="N280" t="str">
        <f>""</f>
        <v/>
      </c>
      <c r="O280" t="s">
        <v>977</v>
      </c>
      <c r="P280" t="s">
        <v>978</v>
      </c>
      <c r="R280" t="s">
        <v>979</v>
      </c>
      <c r="S280" t="s">
        <v>36</v>
      </c>
      <c r="T280" t="str">
        <f t="shared" si="47"/>
        <v>85210</v>
      </c>
      <c r="U280" t="str">
        <f t="shared" si="50"/>
        <v>1096</v>
      </c>
      <c r="V280" t="s">
        <v>1110</v>
      </c>
      <c r="X280" t="s">
        <v>979</v>
      </c>
      <c r="Y280" t="s">
        <v>36</v>
      </c>
      <c r="Z280" t="str">
        <f>"85207"</f>
        <v>85207</v>
      </c>
      <c r="AA280" t="str">
        <f>"3803"</f>
        <v>3803</v>
      </c>
      <c r="AB280" t="s">
        <v>821</v>
      </c>
    </row>
    <row r="281" spans="1:28" x14ac:dyDescent="0.25">
      <c r="A281">
        <v>4235</v>
      </c>
      <c r="B281" t="str">
        <f t="shared" ref="B281:B295" si="51">"070204000"</f>
        <v>070204000</v>
      </c>
      <c r="C281" t="s">
        <v>974</v>
      </c>
      <c r="D281">
        <v>6229</v>
      </c>
      <c r="E281" t="str">
        <f>"070204151"</f>
        <v>070204151</v>
      </c>
      <c r="F281" t="s">
        <v>1111</v>
      </c>
      <c r="G281" t="s">
        <v>42</v>
      </c>
      <c r="H281" t="s">
        <v>975</v>
      </c>
      <c r="I281" t="s">
        <v>976</v>
      </c>
      <c r="J281" t="s">
        <v>202</v>
      </c>
      <c r="K281" t="str">
        <f t="shared" ref="K281:K295" si="52">"4804720909"</f>
        <v>4804720909</v>
      </c>
      <c r="L281" t="str">
        <f>""</f>
        <v/>
      </c>
      <c r="M281" t="str">
        <f t="shared" si="49"/>
        <v>4804720992</v>
      </c>
      <c r="N281" t="str">
        <f>""</f>
        <v/>
      </c>
      <c r="O281" t="s">
        <v>977</v>
      </c>
      <c r="P281" t="s">
        <v>978</v>
      </c>
      <c r="R281" t="s">
        <v>979</v>
      </c>
      <c r="S281" t="s">
        <v>36</v>
      </c>
      <c r="T281" t="str">
        <f t="shared" ref="T281:T295" si="53">"85210"</f>
        <v>85210</v>
      </c>
      <c r="U281" t="str">
        <f t="shared" si="50"/>
        <v>1096</v>
      </c>
      <c r="V281" t="s">
        <v>1112</v>
      </c>
      <c r="X281" t="s">
        <v>979</v>
      </c>
      <c r="Y281" t="s">
        <v>36</v>
      </c>
      <c r="Z281" t="str">
        <f>"85206"</f>
        <v>85206</v>
      </c>
      <c r="AA281" t="str">
        <f>"6781"</f>
        <v>6781</v>
      </c>
      <c r="AB281" t="s">
        <v>821</v>
      </c>
    </row>
    <row r="282" spans="1:28" x14ac:dyDescent="0.25">
      <c r="A282">
        <v>4235</v>
      </c>
      <c r="B282" t="str">
        <f t="shared" si="51"/>
        <v>070204000</v>
      </c>
      <c r="C282" t="s">
        <v>974</v>
      </c>
      <c r="D282">
        <v>78917</v>
      </c>
      <c r="E282" t="str">
        <f>"070204276"</f>
        <v>070204276</v>
      </c>
      <c r="F282" t="s">
        <v>1113</v>
      </c>
      <c r="G282" t="s">
        <v>42</v>
      </c>
      <c r="H282" t="s">
        <v>975</v>
      </c>
      <c r="I282" t="s">
        <v>976</v>
      </c>
      <c r="J282" t="s">
        <v>202</v>
      </c>
      <c r="K282" t="str">
        <f t="shared" si="52"/>
        <v>4804720909</v>
      </c>
      <c r="L282" t="str">
        <f>""</f>
        <v/>
      </c>
      <c r="M282" t="str">
        <f t="shared" si="49"/>
        <v>4804720992</v>
      </c>
      <c r="N282" t="str">
        <f>""</f>
        <v/>
      </c>
      <c r="O282" t="s">
        <v>977</v>
      </c>
      <c r="P282" t="s">
        <v>978</v>
      </c>
      <c r="R282" t="s">
        <v>979</v>
      </c>
      <c r="S282" t="s">
        <v>36</v>
      </c>
      <c r="T282" t="str">
        <f t="shared" si="53"/>
        <v>85210</v>
      </c>
      <c r="U282" t="str">
        <f t="shared" si="50"/>
        <v>1096</v>
      </c>
      <c r="V282" t="s">
        <v>1114</v>
      </c>
      <c r="X282" t="s">
        <v>979</v>
      </c>
      <c r="Y282" t="s">
        <v>36</v>
      </c>
      <c r="Z282" t="str">
        <f>"85208"</f>
        <v>85208</v>
      </c>
      <c r="AA282" t="str">
        <f>"2564"</f>
        <v>2564</v>
      </c>
      <c r="AB282" t="s">
        <v>821</v>
      </c>
    </row>
    <row r="283" spans="1:28" x14ac:dyDescent="0.25">
      <c r="A283">
        <v>4235</v>
      </c>
      <c r="B283" t="str">
        <f t="shared" si="51"/>
        <v>070204000</v>
      </c>
      <c r="C283" t="s">
        <v>974</v>
      </c>
      <c r="D283">
        <v>78932</v>
      </c>
      <c r="E283" t="str">
        <f>"070204278"</f>
        <v>070204278</v>
      </c>
      <c r="F283" t="s">
        <v>1115</v>
      </c>
      <c r="G283" t="s">
        <v>42</v>
      </c>
      <c r="H283" t="s">
        <v>975</v>
      </c>
      <c r="I283" t="s">
        <v>976</v>
      </c>
      <c r="J283" t="s">
        <v>202</v>
      </c>
      <c r="K283" t="str">
        <f t="shared" si="52"/>
        <v>4804720909</v>
      </c>
      <c r="L283" t="str">
        <f>""</f>
        <v/>
      </c>
      <c r="M283" t="str">
        <f t="shared" si="49"/>
        <v>4804720992</v>
      </c>
      <c r="N283" t="str">
        <f>""</f>
        <v/>
      </c>
      <c r="O283" t="s">
        <v>977</v>
      </c>
      <c r="P283" t="s">
        <v>978</v>
      </c>
      <c r="R283" t="s">
        <v>979</v>
      </c>
      <c r="S283" t="s">
        <v>36</v>
      </c>
      <c r="T283" t="str">
        <f t="shared" si="53"/>
        <v>85210</v>
      </c>
      <c r="U283" t="str">
        <f t="shared" si="50"/>
        <v>1096</v>
      </c>
      <c r="V283" t="s">
        <v>1116</v>
      </c>
      <c r="X283" t="s">
        <v>979</v>
      </c>
      <c r="Y283" t="s">
        <v>36</v>
      </c>
      <c r="Z283" t="str">
        <f>"85210"</f>
        <v>85210</v>
      </c>
      <c r="AA283" t="str">
        <f>""</f>
        <v/>
      </c>
      <c r="AB283" t="s">
        <v>821</v>
      </c>
    </row>
    <row r="284" spans="1:28" x14ac:dyDescent="0.25">
      <c r="A284">
        <v>4235</v>
      </c>
      <c r="B284" t="str">
        <f t="shared" si="51"/>
        <v>070204000</v>
      </c>
      <c r="C284" t="s">
        <v>974</v>
      </c>
      <c r="D284">
        <v>78933</v>
      </c>
      <c r="E284" t="str">
        <f>"070204280"</f>
        <v>070204280</v>
      </c>
      <c r="F284" t="s">
        <v>1117</v>
      </c>
      <c r="G284" t="s">
        <v>42</v>
      </c>
      <c r="H284" t="s">
        <v>975</v>
      </c>
      <c r="I284" t="s">
        <v>976</v>
      </c>
      <c r="J284" t="s">
        <v>202</v>
      </c>
      <c r="K284" t="str">
        <f t="shared" si="52"/>
        <v>4804720909</v>
      </c>
      <c r="L284" t="str">
        <f>""</f>
        <v/>
      </c>
      <c r="M284" t="str">
        <f t="shared" si="49"/>
        <v>4804720992</v>
      </c>
      <c r="N284" t="str">
        <f>""</f>
        <v/>
      </c>
      <c r="O284" t="s">
        <v>977</v>
      </c>
      <c r="P284" t="s">
        <v>978</v>
      </c>
      <c r="R284" t="s">
        <v>979</v>
      </c>
      <c r="S284" t="s">
        <v>36</v>
      </c>
      <c r="T284" t="str">
        <f t="shared" si="53"/>
        <v>85210</v>
      </c>
      <c r="U284" t="str">
        <f t="shared" si="50"/>
        <v>1096</v>
      </c>
      <c r="V284" t="s">
        <v>1118</v>
      </c>
      <c r="X284" t="s">
        <v>979</v>
      </c>
      <c r="Y284" t="s">
        <v>36</v>
      </c>
      <c r="Z284" t="str">
        <f>"85208"</f>
        <v>85208</v>
      </c>
      <c r="AA284" t="str">
        <f>"3800"</f>
        <v>3800</v>
      </c>
      <c r="AB284" t="s">
        <v>821</v>
      </c>
    </row>
    <row r="285" spans="1:28" x14ac:dyDescent="0.25">
      <c r="A285">
        <v>4235</v>
      </c>
      <c r="B285" t="str">
        <f t="shared" si="51"/>
        <v>070204000</v>
      </c>
      <c r="C285" t="s">
        <v>974</v>
      </c>
      <c r="D285">
        <v>78938</v>
      </c>
      <c r="E285" t="str">
        <f>"070204153"</f>
        <v>070204153</v>
      </c>
      <c r="F285" t="s">
        <v>1119</v>
      </c>
      <c r="G285" t="s">
        <v>42</v>
      </c>
      <c r="H285" t="s">
        <v>975</v>
      </c>
      <c r="I285" t="s">
        <v>976</v>
      </c>
      <c r="J285" t="s">
        <v>202</v>
      </c>
      <c r="K285" t="str">
        <f t="shared" si="52"/>
        <v>4804720909</v>
      </c>
      <c r="L285" t="str">
        <f>""</f>
        <v/>
      </c>
      <c r="M285" t="str">
        <f t="shared" si="49"/>
        <v>4804720992</v>
      </c>
      <c r="N285" t="str">
        <f>""</f>
        <v/>
      </c>
      <c r="O285" t="s">
        <v>977</v>
      </c>
      <c r="P285" t="s">
        <v>978</v>
      </c>
      <c r="R285" t="s">
        <v>979</v>
      </c>
      <c r="S285" t="s">
        <v>36</v>
      </c>
      <c r="T285" t="str">
        <f t="shared" si="53"/>
        <v>85210</v>
      </c>
      <c r="U285" t="str">
        <f t="shared" si="50"/>
        <v>1096</v>
      </c>
      <c r="V285" t="s">
        <v>1120</v>
      </c>
      <c r="X285" t="s">
        <v>979</v>
      </c>
      <c r="Y285" t="s">
        <v>36</v>
      </c>
      <c r="Z285" t="str">
        <f>"85208"</f>
        <v>85208</v>
      </c>
      <c r="AA285" t="str">
        <f>"7152"</f>
        <v>7152</v>
      </c>
      <c r="AB285" t="s">
        <v>821</v>
      </c>
    </row>
    <row r="286" spans="1:28" x14ac:dyDescent="0.25">
      <c r="A286">
        <v>4235</v>
      </c>
      <c r="B286" t="str">
        <f t="shared" si="51"/>
        <v>070204000</v>
      </c>
      <c r="C286" t="s">
        <v>974</v>
      </c>
      <c r="D286">
        <v>79225</v>
      </c>
      <c r="E286" t="str">
        <f>"070204155"</f>
        <v>070204155</v>
      </c>
      <c r="F286" t="s">
        <v>1121</v>
      </c>
      <c r="G286" t="s">
        <v>42</v>
      </c>
      <c r="H286" t="s">
        <v>975</v>
      </c>
      <c r="I286" t="s">
        <v>976</v>
      </c>
      <c r="J286" t="s">
        <v>202</v>
      </c>
      <c r="K286" t="str">
        <f t="shared" si="52"/>
        <v>4804720909</v>
      </c>
      <c r="L286" t="str">
        <f>""</f>
        <v/>
      </c>
      <c r="M286" t="str">
        <f t="shared" si="49"/>
        <v>4804720992</v>
      </c>
      <c r="N286" t="str">
        <f>""</f>
        <v/>
      </c>
      <c r="O286" t="s">
        <v>977</v>
      </c>
      <c r="P286" t="s">
        <v>978</v>
      </c>
      <c r="R286" t="s">
        <v>979</v>
      </c>
      <c r="S286" t="s">
        <v>36</v>
      </c>
      <c r="T286" t="str">
        <f t="shared" si="53"/>
        <v>85210</v>
      </c>
      <c r="U286" t="str">
        <f t="shared" si="50"/>
        <v>1096</v>
      </c>
      <c r="V286" t="s">
        <v>1122</v>
      </c>
      <c r="X286" t="s">
        <v>979</v>
      </c>
      <c r="Y286" t="s">
        <v>36</v>
      </c>
      <c r="Z286" t="str">
        <f>"85210"</f>
        <v>85210</v>
      </c>
      <c r="AA286" t="str">
        <f>"1014"</f>
        <v>1014</v>
      </c>
      <c r="AB286" t="s">
        <v>821</v>
      </c>
    </row>
    <row r="287" spans="1:28" x14ac:dyDescent="0.25">
      <c r="A287">
        <v>4235</v>
      </c>
      <c r="B287" t="str">
        <f t="shared" si="51"/>
        <v>070204000</v>
      </c>
      <c r="C287" t="s">
        <v>974</v>
      </c>
      <c r="D287">
        <v>79489</v>
      </c>
      <c r="E287" t="str">
        <f>"070204263"</f>
        <v>070204263</v>
      </c>
      <c r="F287" t="s">
        <v>1123</v>
      </c>
      <c r="G287" t="s">
        <v>42</v>
      </c>
      <c r="H287" t="s">
        <v>975</v>
      </c>
      <c r="I287" t="s">
        <v>976</v>
      </c>
      <c r="J287" t="s">
        <v>202</v>
      </c>
      <c r="K287" t="str">
        <f t="shared" si="52"/>
        <v>4804720909</v>
      </c>
      <c r="L287" t="str">
        <f>""</f>
        <v/>
      </c>
      <c r="M287" t="str">
        <f t="shared" si="49"/>
        <v>4804720992</v>
      </c>
      <c r="N287" t="str">
        <f>""</f>
        <v/>
      </c>
      <c r="O287" t="s">
        <v>977</v>
      </c>
      <c r="P287" t="s">
        <v>978</v>
      </c>
      <c r="R287" t="s">
        <v>979</v>
      </c>
      <c r="S287" t="s">
        <v>36</v>
      </c>
      <c r="T287" t="str">
        <f t="shared" si="53"/>
        <v>85210</v>
      </c>
      <c r="U287" t="str">
        <f t="shared" si="50"/>
        <v>1096</v>
      </c>
      <c r="V287" t="s">
        <v>1124</v>
      </c>
      <c r="X287" t="s">
        <v>979</v>
      </c>
      <c r="Y287" t="s">
        <v>36</v>
      </c>
      <c r="Z287" t="str">
        <f>"85207"</f>
        <v>85207</v>
      </c>
      <c r="AA287" t="str">
        <f>"5404"</f>
        <v>5404</v>
      </c>
      <c r="AB287" t="s">
        <v>821</v>
      </c>
    </row>
    <row r="288" spans="1:28" x14ac:dyDescent="0.25">
      <c r="A288">
        <v>4235</v>
      </c>
      <c r="B288" t="str">
        <f t="shared" si="51"/>
        <v>070204000</v>
      </c>
      <c r="C288" t="s">
        <v>974</v>
      </c>
      <c r="D288">
        <v>79490</v>
      </c>
      <c r="E288" t="str">
        <f>"070204156"</f>
        <v>070204156</v>
      </c>
      <c r="F288" t="s">
        <v>1125</v>
      </c>
      <c r="G288" t="s">
        <v>42</v>
      </c>
      <c r="H288" t="s">
        <v>975</v>
      </c>
      <c r="I288" t="s">
        <v>976</v>
      </c>
      <c r="J288" t="s">
        <v>202</v>
      </c>
      <c r="K288" t="str">
        <f t="shared" si="52"/>
        <v>4804720909</v>
      </c>
      <c r="L288" t="str">
        <f>""</f>
        <v/>
      </c>
      <c r="M288" t="str">
        <f t="shared" si="49"/>
        <v>4804720992</v>
      </c>
      <c r="N288" t="str">
        <f>""</f>
        <v/>
      </c>
      <c r="O288" t="s">
        <v>977</v>
      </c>
      <c r="P288" t="s">
        <v>978</v>
      </c>
      <c r="R288" t="s">
        <v>979</v>
      </c>
      <c r="S288" t="s">
        <v>36</v>
      </c>
      <c r="T288" t="str">
        <f t="shared" si="53"/>
        <v>85210</v>
      </c>
      <c r="U288" t="str">
        <f t="shared" si="50"/>
        <v>1096</v>
      </c>
      <c r="V288" t="s">
        <v>1126</v>
      </c>
      <c r="X288" t="s">
        <v>979</v>
      </c>
      <c r="Y288" t="s">
        <v>36</v>
      </c>
      <c r="Z288" t="str">
        <f>"85208"</f>
        <v>85208</v>
      </c>
      <c r="AA288" t="str">
        <f>"7705"</f>
        <v>7705</v>
      </c>
      <c r="AB288" t="s">
        <v>821</v>
      </c>
    </row>
    <row r="289" spans="1:28" x14ac:dyDescent="0.25">
      <c r="A289">
        <v>4235</v>
      </c>
      <c r="B289" t="str">
        <f t="shared" si="51"/>
        <v>070204000</v>
      </c>
      <c r="C289" t="s">
        <v>974</v>
      </c>
      <c r="D289">
        <v>79807</v>
      </c>
      <c r="E289" t="str">
        <f>"070204157"</f>
        <v>070204157</v>
      </c>
      <c r="F289" t="s">
        <v>1127</v>
      </c>
      <c r="G289" t="s">
        <v>42</v>
      </c>
      <c r="H289" t="s">
        <v>975</v>
      </c>
      <c r="I289" t="s">
        <v>976</v>
      </c>
      <c r="J289" t="s">
        <v>202</v>
      </c>
      <c r="K289" t="str">
        <f t="shared" si="52"/>
        <v>4804720909</v>
      </c>
      <c r="L289" t="str">
        <f>""</f>
        <v/>
      </c>
      <c r="M289" t="str">
        <f t="shared" si="49"/>
        <v>4804720992</v>
      </c>
      <c r="N289" t="str">
        <f>""</f>
        <v/>
      </c>
      <c r="O289" t="s">
        <v>977</v>
      </c>
      <c r="P289" t="s">
        <v>978</v>
      </c>
      <c r="R289" t="s">
        <v>979</v>
      </c>
      <c r="S289" t="s">
        <v>36</v>
      </c>
      <c r="T289" t="str">
        <f t="shared" si="53"/>
        <v>85210</v>
      </c>
      <c r="U289" t="str">
        <f t="shared" si="50"/>
        <v>1096</v>
      </c>
      <c r="V289" t="s">
        <v>1128</v>
      </c>
      <c r="X289" t="s">
        <v>979</v>
      </c>
      <c r="Y289" t="s">
        <v>36</v>
      </c>
      <c r="Z289" t="str">
        <f>"85207"</f>
        <v>85207</v>
      </c>
      <c r="AA289" t="str">
        <f>"2631"</f>
        <v>2631</v>
      </c>
      <c r="AB289" t="s">
        <v>821</v>
      </c>
    </row>
    <row r="290" spans="1:28" x14ac:dyDescent="0.25">
      <c r="A290">
        <v>4235</v>
      </c>
      <c r="B290" t="str">
        <f t="shared" si="51"/>
        <v>070204000</v>
      </c>
      <c r="C290" t="s">
        <v>974</v>
      </c>
      <c r="D290">
        <v>88420</v>
      </c>
      <c r="E290" t="str">
        <f>"070204282"</f>
        <v>070204282</v>
      </c>
      <c r="F290" t="s">
        <v>1129</v>
      </c>
      <c r="G290" t="s">
        <v>42</v>
      </c>
      <c r="H290" t="s">
        <v>975</v>
      </c>
      <c r="I290" t="s">
        <v>976</v>
      </c>
      <c r="J290" t="s">
        <v>202</v>
      </c>
      <c r="K290" t="str">
        <f t="shared" si="52"/>
        <v>4804720909</v>
      </c>
      <c r="L290" t="str">
        <f>""</f>
        <v/>
      </c>
      <c r="M290" t="str">
        <f t="shared" si="49"/>
        <v>4804720992</v>
      </c>
      <c r="N290" t="str">
        <f>""</f>
        <v/>
      </c>
      <c r="O290" t="s">
        <v>977</v>
      </c>
      <c r="P290" t="s">
        <v>1130</v>
      </c>
      <c r="R290" t="s">
        <v>979</v>
      </c>
      <c r="S290" t="s">
        <v>36</v>
      </c>
      <c r="T290" t="str">
        <f t="shared" si="53"/>
        <v>85210</v>
      </c>
      <c r="U290" t="str">
        <f t="shared" si="50"/>
        <v>1096</v>
      </c>
      <c r="V290" t="s">
        <v>1116</v>
      </c>
      <c r="X290" t="s">
        <v>979</v>
      </c>
      <c r="Y290" t="s">
        <v>36</v>
      </c>
      <c r="Z290" t="str">
        <f>"85210"</f>
        <v>85210</v>
      </c>
      <c r="AA290" t="str">
        <f>"3401"</f>
        <v>3401</v>
      </c>
      <c r="AB290" t="s">
        <v>821</v>
      </c>
    </row>
    <row r="291" spans="1:28" x14ac:dyDescent="0.25">
      <c r="A291">
        <v>4235</v>
      </c>
      <c r="B291" t="str">
        <f t="shared" si="51"/>
        <v>070204000</v>
      </c>
      <c r="C291" t="s">
        <v>974</v>
      </c>
      <c r="D291">
        <v>89593</v>
      </c>
      <c r="E291" t="str">
        <f>"070204192"</f>
        <v>070204192</v>
      </c>
      <c r="F291" t="s">
        <v>1131</v>
      </c>
      <c r="G291" t="s">
        <v>42</v>
      </c>
      <c r="H291" t="s">
        <v>975</v>
      </c>
      <c r="I291" t="s">
        <v>976</v>
      </c>
      <c r="J291" t="s">
        <v>202</v>
      </c>
      <c r="K291" t="str">
        <f t="shared" si="52"/>
        <v>4804720909</v>
      </c>
      <c r="L291" t="str">
        <f>""</f>
        <v/>
      </c>
      <c r="M291" t="str">
        <f t="shared" si="49"/>
        <v>4804720992</v>
      </c>
      <c r="N291" t="str">
        <f>""</f>
        <v/>
      </c>
      <c r="O291" t="s">
        <v>977</v>
      </c>
      <c r="P291" t="s">
        <v>978</v>
      </c>
      <c r="R291" t="s">
        <v>979</v>
      </c>
      <c r="S291" t="s">
        <v>36</v>
      </c>
      <c r="T291" t="str">
        <f t="shared" si="53"/>
        <v>85210</v>
      </c>
      <c r="U291" t="str">
        <f t="shared" si="50"/>
        <v>1096</v>
      </c>
      <c r="V291" t="s">
        <v>1132</v>
      </c>
      <c r="X291" t="s">
        <v>979</v>
      </c>
      <c r="Y291" t="s">
        <v>36</v>
      </c>
      <c r="Z291" t="str">
        <f>"85207"</f>
        <v>85207</v>
      </c>
      <c r="AA291" t="str">
        <f>"3762"</f>
        <v>3762</v>
      </c>
      <c r="AB291" t="s">
        <v>821</v>
      </c>
    </row>
    <row r="292" spans="1:28" x14ac:dyDescent="0.25">
      <c r="A292">
        <v>4235</v>
      </c>
      <c r="B292" t="str">
        <f t="shared" si="51"/>
        <v>070204000</v>
      </c>
      <c r="C292" t="s">
        <v>974</v>
      </c>
      <c r="D292">
        <v>90303</v>
      </c>
      <c r="E292" t="str">
        <f>"070204264"</f>
        <v>070204264</v>
      </c>
      <c r="F292" t="s">
        <v>1133</v>
      </c>
      <c r="G292" t="s">
        <v>42</v>
      </c>
      <c r="H292" t="s">
        <v>975</v>
      </c>
      <c r="I292" t="s">
        <v>976</v>
      </c>
      <c r="J292" t="s">
        <v>202</v>
      </c>
      <c r="K292" t="str">
        <f t="shared" si="52"/>
        <v>4804720909</v>
      </c>
      <c r="L292" t="str">
        <f>""</f>
        <v/>
      </c>
      <c r="M292" t="str">
        <f t="shared" si="49"/>
        <v>4804720992</v>
      </c>
      <c r="N292" t="str">
        <f>""</f>
        <v/>
      </c>
      <c r="O292" t="s">
        <v>977</v>
      </c>
      <c r="P292" t="s">
        <v>1130</v>
      </c>
      <c r="R292" t="s">
        <v>979</v>
      </c>
      <c r="S292" t="s">
        <v>36</v>
      </c>
      <c r="T292" t="str">
        <f t="shared" si="53"/>
        <v>85210</v>
      </c>
      <c r="U292" t="str">
        <f t="shared" si="50"/>
        <v>1096</v>
      </c>
      <c r="V292" t="s">
        <v>1134</v>
      </c>
      <c r="X292" t="s">
        <v>979</v>
      </c>
      <c r="Y292" t="s">
        <v>36</v>
      </c>
      <c r="Z292" t="str">
        <f>"85206"</f>
        <v>85206</v>
      </c>
      <c r="AA292" t="str">
        <f>"2759"</f>
        <v>2759</v>
      </c>
      <c r="AB292" t="s">
        <v>821</v>
      </c>
    </row>
    <row r="293" spans="1:28" x14ac:dyDescent="0.25">
      <c r="A293">
        <v>4235</v>
      </c>
      <c r="B293" t="str">
        <f t="shared" si="51"/>
        <v>070204000</v>
      </c>
      <c r="C293" t="s">
        <v>974</v>
      </c>
      <c r="D293">
        <v>90752</v>
      </c>
      <c r="E293" t="str">
        <f>"070204158"</f>
        <v>070204158</v>
      </c>
      <c r="F293" t="s">
        <v>1135</v>
      </c>
      <c r="G293" t="s">
        <v>42</v>
      </c>
      <c r="H293" t="s">
        <v>975</v>
      </c>
      <c r="I293" t="s">
        <v>976</v>
      </c>
      <c r="J293" t="s">
        <v>202</v>
      </c>
      <c r="K293" t="str">
        <f t="shared" si="52"/>
        <v>4804720909</v>
      </c>
      <c r="L293" t="str">
        <f>""</f>
        <v/>
      </c>
      <c r="M293" t="str">
        <f t="shared" si="49"/>
        <v>4804720992</v>
      </c>
      <c r="N293" t="str">
        <f>""</f>
        <v/>
      </c>
      <c r="O293" t="s">
        <v>977</v>
      </c>
      <c r="P293" t="s">
        <v>978</v>
      </c>
      <c r="R293" t="s">
        <v>979</v>
      </c>
      <c r="S293" t="s">
        <v>36</v>
      </c>
      <c r="T293" t="str">
        <f t="shared" si="53"/>
        <v>85210</v>
      </c>
      <c r="U293" t="str">
        <f>"1090"</f>
        <v>1090</v>
      </c>
      <c r="V293" t="s">
        <v>1084</v>
      </c>
      <c r="X293" t="s">
        <v>979</v>
      </c>
      <c r="Y293" t="s">
        <v>36</v>
      </c>
      <c r="Z293" t="str">
        <f>"85202"</f>
        <v>85202</v>
      </c>
      <c r="AA293" t="str">
        <f>"6610"</f>
        <v>6610</v>
      </c>
      <c r="AB293" t="s">
        <v>821</v>
      </c>
    </row>
    <row r="294" spans="1:28" x14ac:dyDescent="0.25">
      <c r="A294">
        <v>4235</v>
      </c>
      <c r="B294" t="str">
        <f t="shared" si="51"/>
        <v>070204000</v>
      </c>
      <c r="C294" t="s">
        <v>974</v>
      </c>
      <c r="D294">
        <v>90753</v>
      </c>
      <c r="E294" t="str">
        <f>"070204193"</f>
        <v>070204193</v>
      </c>
      <c r="F294" t="s">
        <v>1136</v>
      </c>
      <c r="G294" t="s">
        <v>42</v>
      </c>
      <c r="H294" t="s">
        <v>975</v>
      </c>
      <c r="I294" t="s">
        <v>976</v>
      </c>
      <c r="J294" t="s">
        <v>202</v>
      </c>
      <c r="K294" t="str">
        <f t="shared" si="52"/>
        <v>4804720909</v>
      </c>
      <c r="L294" t="str">
        <f>""</f>
        <v/>
      </c>
      <c r="M294" t="str">
        <f t="shared" si="49"/>
        <v>4804720992</v>
      </c>
      <c r="N294" t="str">
        <f>""</f>
        <v/>
      </c>
      <c r="O294" t="s">
        <v>977</v>
      </c>
      <c r="P294" t="s">
        <v>978</v>
      </c>
      <c r="R294" t="s">
        <v>979</v>
      </c>
      <c r="S294" t="s">
        <v>36</v>
      </c>
      <c r="T294" t="str">
        <f t="shared" si="53"/>
        <v>85210</v>
      </c>
      <c r="U294" t="str">
        <f>"1096"</f>
        <v>1096</v>
      </c>
      <c r="V294" t="s">
        <v>1137</v>
      </c>
      <c r="X294" t="s">
        <v>1041</v>
      </c>
      <c r="Y294" t="s">
        <v>36</v>
      </c>
      <c r="Z294" t="str">
        <f>"85224"</f>
        <v>85224</v>
      </c>
      <c r="AA294" t="str">
        <f>"1203"</f>
        <v>1203</v>
      </c>
      <c r="AB294" t="s">
        <v>821</v>
      </c>
    </row>
    <row r="295" spans="1:28" x14ac:dyDescent="0.25">
      <c r="A295">
        <v>4235</v>
      </c>
      <c r="B295" t="str">
        <f t="shared" si="51"/>
        <v>070204000</v>
      </c>
      <c r="C295" t="s">
        <v>974</v>
      </c>
      <c r="D295">
        <v>91812</v>
      </c>
      <c r="E295" t="str">
        <f>"070204159"</f>
        <v>070204159</v>
      </c>
      <c r="F295" t="s">
        <v>1138</v>
      </c>
      <c r="G295" t="s">
        <v>42</v>
      </c>
      <c r="H295" t="s">
        <v>975</v>
      </c>
      <c r="I295" t="s">
        <v>976</v>
      </c>
      <c r="J295" t="s">
        <v>202</v>
      </c>
      <c r="K295" t="str">
        <f t="shared" si="52"/>
        <v>4804720909</v>
      </c>
      <c r="L295" t="str">
        <f>""</f>
        <v/>
      </c>
      <c r="M295" t="str">
        <f t="shared" si="49"/>
        <v>4804720992</v>
      </c>
      <c r="N295" t="str">
        <f>""</f>
        <v/>
      </c>
      <c r="O295" t="s">
        <v>977</v>
      </c>
      <c r="P295" t="s">
        <v>978</v>
      </c>
      <c r="R295" t="s">
        <v>979</v>
      </c>
      <c r="S295" t="s">
        <v>36</v>
      </c>
      <c r="T295" t="str">
        <f t="shared" si="53"/>
        <v>85210</v>
      </c>
      <c r="U295" t="str">
        <f>"1096"</f>
        <v>1096</v>
      </c>
      <c r="V295" t="s">
        <v>1139</v>
      </c>
      <c r="X295" t="s">
        <v>979</v>
      </c>
      <c r="Y295" t="s">
        <v>36</v>
      </c>
      <c r="Z295" t="str">
        <f>"85206"</f>
        <v>85206</v>
      </c>
      <c r="AA295" t="str">
        <f>"2759"</f>
        <v>2759</v>
      </c>
      <c r="AB295" t="s">
        <v>821</v>
      </c>
    </row>
    <row r="296" spans="1:28" x14ac:dyDescent="0.25">
      <c r="A296">
        <v>4236</v>
      </c>
      <c r="B296" t="str">
        <f>"070209000"</f>
        <v>070209000</v>
      </c>
      <c r="C296" t="s">
        <v>1140</v>
      </c>
      <c r="D296">
        <v>0</v>
      </c>
      <c r="E296" t="str">
        <f>""</f>
        <v/>
      </c>
      <c r="G296" t="s">
        <v>29</v>
      </c>
      <c r="H296" t="s">
        <v>1141</v>
      </c>
      <c r="I296" t="s">
        <v>925</v>
      </c>
      <c r="J296" t="s">
        <v>1142</v>
      </c>
      <c r="K296" t="str">
        <f>"9286685353"</f>
        <v>9286685353</v>
      </c>
      <c r="L296" t="str">
        <f>""</f>
        <v/>
      </c>
      <c r="M296" t="str">
        <f>"9286685390"</f>
        <v>9286685390</v>
      </c>
      <c r="N296" t="str">
        <f>""</f>
        <v/>
      </c>
      <c r="O296" t="s">
        <v>1143</v>
      </c>
      <c r="P296" t="s">
        <v>1144</v>
      </c>
      <c r="R296" t="s">
        <v>1145</v>
      </c>
      <c r="S296" t="s">
        <v>36</v>
      </c>
      <c r="T296" t="str">
        <f>"85390"</f>
        <v>85390</v>
      </c>
      <c r="U296" t="str">
        <f>""</f>
        <v/>
      </c>
      <c r="V296" t="s">
        <v>1144</v>
      </c>
      <c r="X296" t="s">
        <v>1145</v>
      </c>
      <c r="Y296" t="s">
        <v>36</v>
      </c>
      <c r="Z296" t="str">
        <f>"85390"</f>
        <v>85390</v>
      </c>
      <c r="AA296" t="str">
        <f>""</f>
        <v/>
      </c>
      <c r="AB296" t="s">
        <v>249</v>
      </c>
    </row>
    <row r="297" spans="1:28" x14ac:dyDescent="0.25">
      <c r="A297">
        <v>4236</v>
      </c>
      <c r="B297" t="str">
        <f>"070209000"</f>
        <v>070209000</v>
      </c>
      <c r="C297" t="s">
        <v>1140</v>
      </c>
      <c r="D297">
        <v>4986</v>
      </c>
      <c r="E297" t="str">
        <f>"070209103"</f>
        <v>070209103</v>
      </c>
      <c r="F297" t="s">
        <v>1146</v>
      </c>
      <c r="G297" t="s">
        <v>42</v>
      </c>
      <c r="H297" t="s">
        <v>1147</v>
      </c>
      <c r="I297" t="s">
        <v>1148</v>
      </c>
      <c r="J297" t="s">
        <v>1149</v>
      </c>
      <c r="K297" t="str">
        <f>"9286685351"</f>
        <v>9286685351</v>
      </c>
      <c r="L297" t="str">
        <f>""</f>
        <v/>
      </c>
      <c r="M297" t="str">
        <f>"9286685390"</f>
        <v>9286685390</v>
      </c>
      <c r="N297" t="str">
        <f>""</f>
        <v/>
      </c>
      <c r="O297" t="s">
        <v>1150</v>
      </c>
      <c r="P297" t="s">
        <v>1151</v>
      </c>
      <c r="R297" t="s">
        <v>1145</v>
      </c>
      <c r="S297" t="s">
        <v>36</v>
      </c>
      <c r="T297" t="str">
        <f>"85390"</f>
        <v>85390</v>
      </c>
      <c r="U297" t="str">
        <f>""</f>
        <v/>
      </c>
      <c r="V297" t="s">
        <v>1151</v>
      </c>
      <c r="X297" t="s">
        <v>1145</v>
      </c>
      <c r="Y297" t="s">
        <v>36</v>
      </c>
      <c r="Z297" t="str">
        <f>"85390"</f>
        <v>85390</v>
      </c>
      <c r="AA297" t="str">
        <f>""</f>
        <v/>
      </c>
      <c r="AB297" t="s">
        <v>249</v>
      </c>
    </row>
    <row r="298" spans="1:28" x14ac:dyDescent="0.25">
      <c r="A298">
        <v>4236</v>
      </c>
      <c r="B298" t="str">
        <f>"070209000"</f>
        <v>070209000</v>
      </c>
      <c r="C298" t="s">
        <v>1140</v>
      </c>
      <c r="D298">
        <v>4987</v>
      </c>
      <c r="E298" t="str">
        <f>"070209201"</f>
        <v>070209201</v>
      </c>
      <c r="F298" t="s">
        <v>1152</v>
      </c>
      <c r="G298" t="s">
        <v>42</v>
      </c>
      <c r="H298" t="s">
        <v>1147</v>
      </c>
      <c r="I298" t="s">
        <v>1148</v>
      </c>
      <c r="J298" t="s">
        <v>1149</v>
      </c>
      <c r="K298" t="str">
        <f>"9286685351"</f>
        <v>9286685351</v>
      </c>
      <c r="L298" t="str">
        <f>""</f>
        <v/>
      </c>
      <c r="M298" t="str">
        <f>"9286685390"</f>
        <v>9286685390</v>
      </c>
      <c r="N298" t="str">
        <f>""</f>
        <v/>
      </c>
      <c r="O298" t="s">
        <v>1150</v>
      </c>
      <c r="P298" t="s">
        <v>1153</v>
      </c>
      <c r="R298" t="s">
        <v>1145</v>
      </c>
      <c r="S298" t="s">
        <v>36</v>
      </c>
      <c r="T298" t="str">
        <f>"85390"</f>
        <v>85390</v>
      </c>
      <c r="U298" t="str">
        <f>""</f>
        <v/>
      </c>
      <c r="V298" t="s">
        <v>1153</v>
      </c>
      <c r="X298" t="s">
        <v>1145</v>
      </c>
      <c r="Y298" t="s">
        <v>36</v>
      </c>
      <c r="Z298" t="str">
        <f>"85390"</f>
        <v>85390</v>
      </c>
      <c r="AA298" t="str">
        <f>""</f>
        <v/>
      </c>
      <c r="AB298" t="s">
        <v>249</v>
      </c>
    </row>
    <row r="299" spans="1:28" x14ac:dyDescent="0.25">
      <c r="A299">
        <v>4236</v>
      </c>
      <c r="B299" t="str">
        <f>"070209000"</f>
        <v>070209000</v>
      </c>
      <c r="C299" t="s">
        <v>1140</v>
      </c>
      <c r="D299">
        <v>6001</v>
      </c>
      <c r="E299" t="str">
        <f>"070209102"</f>
        <v>070209102</v>
      </c>
      <c r="F299" t="s">
        <v>1154</v>
      </c>
      <c r="G299" t="s">
        <v>42</v>
      </c>
      <c r="H299" t="s">
        <v>1147</v>
      </c>
      <c r="I299" t="s">
        <v>1148</v>
      </c>
      <c r="J299" t="s">
        <v>1149</v>
      </c>
      <c r="K299" t="str">
        <f>"9286685351"</f>
        <v>9286685351</v>
      </c>
      <c r="L299" t="str">
        <f>""</f>
        <v/>
      </c>
      <c r="M299" t="str">
        <f>"9286685390"</f>
        <v>9286685390</v>
      </c>
      <c r="N299" t="str">
        <f>""</f>
        <v/>
      </c>
      <c r="O299" t="s">
        <v>1150</v>
      </c>
      <c r="P299" t="s">
        <v>1155</v>
      </c>
      <c r="R299" t="s">
        <v>1145</v>
      </c>
      <c r="S299" t="s">
        <v>36</v>
      </c>
      <c r="T299" t="str">
        <f>"85390"</f>
        <v>85390</v>
      </c>
      <c r="U299" t="str">
        <f>""</f>
        <v/>
      </c>
      <c r="V299" t="s">
        <v>1155</v>
      </c>
      <c r="X299" t="s">
        <v>1145</v>
      </c>
      <c r="Y299" t="s">
        <v>36</v>
      </c>
      <c r="Z299" t="str">
        <f>"85390"</f>
        <v>85390</v>
      </c>
      <c r="AA299" t="str">
        <f>""</f>
        <v/>
      </c>
      <c r="AB299" t="s">
        <v>249</v>
      </c>
    </row>
    <row r="300" spans="1:28" x14ac:dyDescent="0.25">
      <c r="A300">
        <v>4236</v>
      </c>
      <c r="B300" t="str">
        <f>"070209000"</f>
        <v>070209000</v>
      </c>
      <c r="C300" t="s">
        <v>1140</v>
      </c>
      <c r="D300">
        <v>89676</v>
      </c>
      <c r="E300" t="str">
        <f>"070209104"</f>
        <v>070209104</v>
      </c>
      <c r="F300" t="s">
        <v>1156</v>
      </c>
      <c r="G300" t="s">
        <v>42</v>
      </c>
      <c r="H300" t="s">
        <v>1147</v>
      </c>
      <c r="I300" t="s">
        <v>1148</v>
      </c>
      <c r="J300" t="s">
        <v>1149</v>
      </c>
      <c r="K300" t="str">
        <f>"9286685351"</f>
        <v>9286685351</v>
      </c>
      <c r="L300" t="str">
        <f>""</f>
        <v/>
      </c>
      <c r="M300" t="str">
        <f>"9286685390"</f>
        <v>9286685390</v>
      </c>
      <c r="N300" t="str">
        <f>""</f>
        <v/>
      </c>
      <c r="O300" t="s">
        <v>1150</v>
      </c>
      <c r="P300" t="s">
        <v>1157</v>
      </c>
      <c r="R300" t="s">
        <v>1158</v>
      </c>
      <c r="S300" t="s">
        <v>36</v>
      </c>
      <c r="T300" t="str">
        <f>"85396"</f>
        <v>85396</v>
      </c>
      <c r="U300" t="str">
        <f>""</f>
        <v/>
      </c>
      <c r="V300" t="s">
        <v>1157</v>
      </c>
      <c r="X300" t="s">
        <v>1158</v>
      </c>
      <c r="Y300" t="s">
        <v>36</v>
      </c>
      <c r="Z300" t="str">
        <f>"85396"</f>
        <v>85396</v>
      </c>
      <c r="AA300" t="str">
        <f>""</f>
        <v/>
      </c>
      <c r="AB300" t="s">
        <v>249</v>
      </c>
    </row>
    <row r="301" spans="1:28" x14ac:dyDescent="0.25">
      <c r="A301">
        <v>4237</v>
      </c>
      <c r="B301" t="str">
        <f t="shared" ref="B301:B344" si="54">"070211000"</f>
        <v>070211000</v>
      </c>
      <c r="C301" t="s">
        <v>1159</v>
      </c>
      <c r="D301">
        <v>0</v>
      </c>
      <c r="E301" t="str">
        <f>""</f>
        <v/>
      </c>
      <c r="G301" t="s">
        <v>29</v>
      </c>
      <c r="H301" t="s">
        <v>1160</v>
      </c>
      <c r="I301" t="s">
        <v>1161</v>
      </c>
      <c r="J301" t="s">
        <v>1162</v>
      </c>
      <c r="K301" t="str">
        <f t="shared" ref="K301:K340" si="55">"6234875183"</f>
        <v>6234875183</v>
      </c>
      <c r="L301" t="str">
        <f>""</f>
        <v/>
      </c>
      <c r="M301" t="str">
        <f t="shared" ref="M301:M340" si="56">"6234875190"</f>
        <v>6234875190</v>
      </c>
      <c r="N301" t="str">
        <f>""</f>
        <v/>
      </c>
      <c r="O301" t="s">
        <v>1163</v>
      </c>
      <c r="P301" t="s">
        <v>1164</v>
      </c>
      <c r="R301" t="s">
        <v>1165</v>
      </c>
      <c r="S301" t="s">
        <v>36</v>
      </c>
      <c r="T301" t="str">
        <f t="shared" ref="T301:T340" si="57">"85345"</f>
        <v>85345</v>
      </c>
      <c r="U301" t="str">
        <f>""</f>
        <v/>
      </c>
      <c r="V301" t="s">
        <v>1164</v>
      </c>
      <c r="X301" t="s">
        <v>1165</v>
      </c>
      <c r="Y301" t="s">
        <v>36</v>
      </c>
      <c r="Z301" t="str">
        <f>"85345"</f>
        <v>85345</v>
      </c>
      <c r="AA301" t="str">
        <f>""</f>
        <v/>
      </c>
      <c r="AB301" t="s">
        <v>1166</v>
      </c>
    </row>
    <row r="302" spans="1:28" x14ac:dyDescent="0.25">
      <c r="A302">
        <v>4237</v>
      </c>
      <c r="B302" t="str">
        <f t="shared" si="54"/>
        <v>070211000</v>
      </c>
      <c r="C302" t="s">
        <v>1159</v>
      </c>
      <c r="D302">
        <v>4989</v>
      </c>
      <c r="E302" t="str">
        <f>"070211101"</f>
        <v>070211101</v>
      </c>
      <c r="F302" t="s">
        <v>1167</v>
      </c>
      <c r="G302" t="s">
        <v>42</v>
      </c>
      <c r="H302" t="s">
        <v>1160</v>
      </c>
      <c r="I302" t="s">
        <v>1161</v>
      </c>
      <c r="J302" t="s">
        <v>202</v>
      </c>
      <c r="K302" t="str">
        <f t="shared" si="55"/>
        <v>6234875183</v>
      </c>
      <c r="L302" t="str">
        <f>""</f>
        <v/>
      </c>
      <c r="M302" t="str">
        <f t="shared" si="56"/>
        <v>6234875190</v>
      </c>
      <c r="N302" t="str">
        <f>""</f>
        <v/>
      </c>
      <c r="O302" t="s">
        <v>1163</v>
      </c>
      <c r="P302" t="s">
        <v>1164</v>
      </c>
      <c r="R302" t="s">
        <v>1165</v>
      </c>
      <c r="S302" t="s">
        <v>36</v>
      </c>
      <c r="T302" t="str">
        <f t="shared" si="57"/>
        <v>85345</v>
      </c>
      <c r="U302" t="str">
        <f>""</f>
        <v/>
      </c>
      <c r="V302" t="s">
        <v>1168</v>
      </c>
      <c r="X302" t="s">
        <v>1165</v>
      </c>
      <c r="Y302" t="s">
        <v>36</v>
      </c>
      <c r="Z302" t="str">
        <f>"85345"</f>
        <v>85345</v>
      </c>
      <c r="AA302" t="str">
        <f>""</f>
        <v/>
      </c>
      <c r="AB302" t="s">
        <v>1166</v>
      </c>
    </row>
    <row r="303" spans="1:28" x14ac:dyDescent="0.25">
      <c r="A303">
        <v>4237</v>
      </c>
      <c r="B303" t="str">
        <f t="shared" si="54"/>
        <v>070211000</v>
      </c>
      <c r="C303" t="s">
        <v>1159</v>
      </c>
      <c r="D303">
        <v>4990</v>
      </c>
      <c r="E303" t="str">
        <f>"070211102"</f>
        <v>070211102</v>
      </c>
      <c r="F303" t="s">
        <v>1169</v>
      </c>
      <c r="G303" t="s">
        <v>42</v>
      </c>
      <c r="H303" t="s">
        <v>1160</v>
      </c>
      <c r="I303" t="s">
        <v>1161</v>
      </c>
      <c r="J303" t="s">
        <v>202</v>
      </c>
      <c r="K303" t="str">
        <f t="shared" si="55"/>
        <v>6234875183</v>
      </c>
      <c r="L303" t="str">
        <f>""</f>
        <v/>
      </c>
      <c r="M303" t="str">
        <f t="shared" si="56"/>
        <v>6234875190</v>
      </c>
      <c r="N303" t="str">
        <f>""</f>
        <v/>
      </c>
      <c r="O303" t="s">
        <v>1163</v>
      </c>
      <c r="P303" t="s">
        <v>1164</v>
      </c>
      <c r="R303" t="s">
        <v>1165</v>
      </c>
      <c r="S303" t="s">
        <v>36</v>
      </c>
      <c r="T303" t="str">
        <f t="shared" si="57"/>
        <v>85345</v>
      </c>
      <c r="U303" t="str">
        <f>""</f>
        <v/>
      </c>
      <c r="V303" t="s">
        <v>1170</v>
      </c>
      <c r="X303" t="s">
        <v>1165</v>
      </c>
      <c r="Y303" t="s">
        <v>36</v>
      </c>
      <c r="Z303" t="str">
        <f>"85345"</f>
        <v>85345</v>
      </c>
      <c r="AA303" t="str">
        <f>""</f>
        <v/>
      </c>
      <c r="AB303" t="s">
        <v>1166</v>
      </c>
    </row>
    <row r="304" spans="1:28" x14ac:dyDescent="0.25">
      <c r="A304">
        <v>4237</v>
      </c>
      <c r="B304" t="str">
        <f t="shared" si="54"/>
        <v>070211000</v>
      </c>
      <c r="C304" t="s">
        <v>1159</v>
      </c>
      <c r="D304">
        <v>4991</v>
      </c>
      <c r="E304" t="str">
        <f>"070211103"</f>
        <v>070211103</v>
      </c>
      <c r="F304" t="s">
        <v>1171</v>
      </c>
      <c r="G304" t="s">
        <v>42</v>
      </c>
      <c r="H304" t="s">
        <v>1160</v>
      </c>
      <c r="I304" t="s">
        <v>1161</v>
      </c>
      <c r="J304" t="s">
        <v>202</v>
      </c>
      <c r="K304" t="str">
        <f t="shared" si="55"/>
        <v>6234875183</v>
      </c>
      <c r="L304" t="str">
        <f>""</f>
        <v/>
      </c>
      <c r="M304" t="str">
        <f t="shared" si="56"/>
        <v>6234875190</v>
      </c>
      <c r="N304" t="str">
        <f>""</f>
        <v/>
      </c>
      <c r="O304" t="s">
        <v>1163</v>
      </c>
      <c r="P304" t="s">
        <v>1164</v>
      </c>
      <c r="R304" t="s">
        <v>1165</v>
      </c>
      <c r="S304" t="s">
        <v>36</v>
      </c>
      <c r="T304" t="str">
        <f t="shared" si="57"/>
        <v>85345</v>
      </c>
      <c r="U304" t="str">
        <f>""</f>
        <v/>
      </c>
      <c r="V304" t="s">
        <v>1172</v>
      </c>
      <c r="X304" t="s">
        <v>1173</v>
      </c>
      <c r="Y304" t="s">
        <v>36</v>
      </c>
      <c r="Z304" t="str">
        <f>"85306"</f>
        <v>85306</v>
      </c>
      <c r="AA304" t="str">
        <f>""</f>
        <v/>
      </c>
      <c r="AB304" t="s">
        <v>1166</v>
      </c>
    </row>
    <row r="305" spans="1:28" x14ac:dyDescent="0.25">
      <c r="A305">
        <v>4237</v>
      </c>
      <c r="B305" t="str">
        <f t="shared" si="54"/>
        <v>070211000</v>
      </c>
      <c r="C305" t="s">
        <v>1159</v>
      </c>
      <c r="D305">
        <v>4992</v>
      </c>
      <c r="E305" t="str">
        <f>"070211104"</f>
        <v>070211104</v>
      </c>
      <c r="F305" t="s">
        <v>1174</v>
      </c>
      <c r="G305" t="s">
        <v>42</v>
      </c>
      <c r="H305" t="s">
        <v>1160</v>
      </c>
      <c r="I305" t="s">
        <v>1161</v>
      </c>
      <c r="J305" t="s">
        <v>202</v>
      </c>
      <c r="K305" t="str">
        <f t="shared" si="55"/>
        <v>6234875183</v>
      </c>
      <c r="L305" t="str">
        <f>""</f>
        <v/>
      </c>
      <c r="M305" t="str">
        <f t="shared" si="56"/>
        <v>6234875190</v>
      </c>
      <c r="N305" t="str">
        <f>""</f>
        <v/>
      </c>
      <c r="O305" t="s">
        <v>1163</v>
      </c>
      <c r="P305" t="s">
        <v>1164</v>
      </c>
      <c r="R305" t="s">
        <v>1165</v>
      </c>
      <c r="S305" t="s">
        <v>36</v>
      </c>
      <c r="T305" t="str">
        <f t="shared" si="57"/>
        <v>85345</v>
      </c>
      <c r="U305" t="str">
        <f>""</f>
        <v/>
      </c>
      <c r="V305" t="s">
        <v>1175</v>
      </c>
      <c r="X305" t="s">
        <v>1173</v>
      </c>
      <c r="Y305" t="s">
        <v>36</v>
      </c>
      <c r="Z305" t="str">
        <f>"85302"</f>
        <v>85302</v>
      </c>
      <c r="AA305" t="str">
        <f>""</f>
        <v/>
      </c>
      <c r="AB305" t="s">
        <v>1166</v>
      </c>
    </row>
    <row r="306" spans="1:28" x14ac:dyDescent="0.25">
      <c r="A306">
        <v>4237</v>
      </c>
      <c r="B306" t="str">
        <f t="shared" si="54"/>
        <v>070211000</v>
      </c>
      <c r="C306" t="s">
        <v>1159</v>
      </c>
      <c r="D306">
        <v>4993</v>
      </c>
      <c r="E306" t="str">
        <f>"070211105"</f>
        <v>070211105</v>
      </c>
      <c r="F306" t="s">
        <v>1176</v>
      </c>
      <c r="G306" t="s">
        <v>42</v>
      </c>
      <c r="H306" t="s">
        <v>1160</v>
      </c>
      <c r="I306" t="s">
        <v>1161</v>
      </c>
      <c r="J306" t="s">
        <v>202</v>
      </c>
      <c r="K306" t="str">
        <f t="shared" si="55"/>
        <v>6234875183</v>
      </c>
      <c r="L306" t="str">
        <f>""</f>
        <v/>
      </c>
      <c r="M306" t="str">
        <f t="shared" si="56"/>
        <v>6234875190</v>
      </c>
      <c r="N306" t="str">
        <f>""</f>
        <v/>
      </c>
      <c r="O306" t="s">
        <v>1163</v>
      </c>
      <c r="P306" t="s">
        <v>1164</v>
      </c>
      <c r="R306" t="s">
        <v>1165</v>
      </c>
      <c r="S306" t="s">
        <v>36</v>
      </c>
      <c r="T306" t="str">
        <f t="shared" si="57"/>
        <v>85345</v>
      </c>
      <c r="U306" t="str">
        <f>""</f>
        <v/>
      </c>
      <c r="V306" t="s">
        <v>1177</v>
      </c>
      <c r="X306" t="s">
        <v>1173</v>
      </c>
      <c r="Y306" t="s">
        <v>36</v>
      </c>
      <c r="Z306" t="str">
        <f>"85306"</f>
        <v>85306</v>
      </c>
      <c r="AA306" t="str">
        <f>""</f>
        <v/>
      </c>
      <c r="AB306" t="s">
        <v>1166</v>
      </c>
    </row>
    <row r="307" spans="1:28" x14ac:dyDescent="0.25">
      <c r="A307">
        <v>4237</v>
      </c>
      <c r="B307" t="str">
        <f t="shared" si="54"/>
        <v>070211000</v>
      </c>
      <c r="C307" t="s">
        <v>1159</v>
      </c>
      <c r="D307">
        <v>4994</v>
      </c>
      <c r="E307" t="str">
        <f>"070211106"</f>
        <v>070211106</v>
      </c>
      <c r="F307" t="s">
        <v>1178</v>
      </c>
      <c r="G307" t="s">
        <v>42</v>
      </c>
      <c r="H307" t="s">
        <v>1160</v>
      </c>
      <c r="I307" t="s">
        <v>1161</v>
      </c>
      <c r="J307" t="s">
        <v>202</v>
      </c>
      <c r="K307" t="str">
        <f t="shared" si="55"/>
        <v>6234875183</v>
      </c>
      <c r="L307" t="str">
        <f>""</f>
        <v/>
      </c>
      <c r="M307" t="str">
        <f t="shared" si="56"/>
        <v>6234875190</v>
      </c>
      <c r="N307" t="str">
        <f>""</f>
        <v/>
      </c>
      <c r="O307" t="s">
        <v>1163</v>
      </c>
      <c r="P307" t="s">
        <v>1164</v>
      </c>
      <c r="R307" t="s">
        <v>1165</v>
      </c>
      <c r="S307" t="s">
        <v>36</v>
      </c>
      <c r="T307" t="str">
        <f t="shared" si="57"/>
        <v>85345</v>
      </c>
      <c r="U307" t="str">
        <f>""</f>
        <v/>
      </c>
      <c r="V307" t="s">
        <v>1179</v>
      </c>
      <c r="X307" t="s">
        <v>1165</v>
      </c>
      <c r="Y307" t="s">
        <v>36</v>
      </c>
      <c r="Z307" t="str">
        <f>"85345"</f>
        <v>85345</v>
      </c>
      <c r="AA307" t="str">
        <f>""</f>
        <v/>
      </c>
      <c r="AB307" t="s">
        <v>1166</v>
      </c>
    </row>
    <row r="308" spans="1:28" x14ac:dyDescent="0.25">
      <c r="A308">
        <v>4237</v>
      </c>
      <c r="B308" t="str">
        <f t="shared" si="54"/>
        <v>070211000</v>
      </c>
      <c r="C308" t="s">
        <v>1159</v>
      </c>
      <c r="D308">
        <v>4995</v>
      </c>
      <c r="E308" t="str">
        <f>"070211107"</f>
        <v>070211107</v>
      </c>
      <c r="F308" t="s">
        <v>1180</v>
      </c>
      <c r="G308" t="s">
        <v>42</v>
      </c>
      <c r="H308" t="s">
        <v>1160</v>
      </c>
      <c r="I308" t="s">
        <v>1161</v>
      </c>
      <c r="J308" t="s">
        <v>202</v>
      </c>
      <c r="K308" t="str">
        <f t="shared" si="55"/>
        <v>6234875183</v>
      </c>
      <c r="L308" t="str">
        <f>""</f>
        <v/>
      </c>
      <c r="M308" t="str">
        <f t="shared" si="56"/>
        <v>6234875190</v>
      </c>
      <c r="N308" t="str">
        <f>""</f>
        <v/>
      </c>
      <c r="O308" t="s">
        <v>1163</v>
      </c>
      <c r="P308" t="s">
        <v>1164</v>
      </c>
      <c r="R308" t="s">
        <v>1165</v>
      </c>
      <c r="S308" t="s">
        <v>36</v>
      </c>
      <c r="T308" t="str">
        <f t="shared" si="57"/>
        <v>85345</v>
      </c>
      <c r="U308" t="str">
        <f>""</f>
        <v/>
      </c>
      <c r="V308" t="s">
        <v>1181</v>
      </c>
      <c r="X308" t="s">
        <v>1173</v>
      </c>
      <c r="Y308" t="s">
        <v>36</v>
      </c>
      <c r="Z308" t="str">
        <f>"85304"</f>
        <v>85304</v>
      </c>
      <c r="AA308" t="str">
        <f>""</f>
        <v/>
      </c>
      <c r="AB308" t="s">
        <v>1166</v>
      </c>
    </row>
    <row r="309" spans="1:28" x14ac:dyDescent="0.25">
      <c r="A309">
        <v>4237</v>
      </c>
      <c r="B309" t="str">
        <f t="shared" si="54"/>
        <v>070211000</v>
      </c>
      <c r="C309" t="s">
        <v>1159</v>
      </c>
      <c r="D309">
        <v>4996</v>
      </c>
      <c r="E309" t="str">
        <f>"070211108"</f>
        <v>070211108</v>
      </c>
      <c r="F309" t="s">
        <v>1182</v>
      </c>
      <c r="G309" t="s">
        <v>42</v>
      </c>
      <c r="H309" t="s">
        <v>1160</v>
      </c>
      <c r="I309" t="s">
        <v>1161</v>
      </c>
      <c r="J309" t="s">
        <v>202</v>
      </c>
      <c r="K309" t="str">
        <f t="shared" si="55"/>
        <v>6234875183</v>
      </c>
      <c r="L309" t="str">
        <f>""</f>
        <v/>
      </c>
      <c r="M309" t="str">
        <f t="shared" si="56"/>
        <v>6234875190</v>
      </c>
      <c r="N309" t="str">
        <f>""</f>
        <v/>
      </c>
      <c r="O309" t="s">
        <v>1163</v>
      </c>
      <c r="P309" t="s">
        <v>1164</v>
      </c>
      <c r="R309" t="s">
        <v>1165</v>
      </c>
      <c r="S309" t="s">
        <v>36</v>
      </c>
      <c r="T309" t="str">
        <f t="shared" si="57"/>
        <v>85345</v>
      </c>
      <c r="U309" t="str">
        <f>""</f>
        <v/>
      </c>
      <c r="V309" t="s">
        <v>1183</v>
      </c>
      <c r="X309" t="s">
        <v>1173</v>
      </c>
      <c r="Y309" t="s">
        <v>36</v>
      </c>
      <c r="Z309" t="str">
        <f>"85306"</f>
        <v>85306</v>
      </c>
      <c r="AA309" t="str">
        <f>""</f>
        <v/>
      </c>
      <c r="AB309" t="s">
        <v>1166</v>
      </c>
    </row>
    <row r="310" spans="1:28" x14ac:dyDescent="0.25">
      <c r="A310">
        <v>4237</v>
      </c>
      <c r="B310" t="str">
        <f t="shared" si="54"/>
        <v>070211000</v>
      </c>
      <c r="C310" t="s">
        <v>1159</v>
      </c>
      <c r="D310">
        <v>4997</v>
      </c>
      <c r="E310" t="str">
        <f>"070211109"</f>
        <v>070211109</v>
      </c>
      <c r="F310" t="s">
        <v>1184</v>
      </c>
      <c r="G310" t="s">
        <v>42</v>
      </c>
      <c r="H310" t="s">
        <v>1160</v>
      </c>
      <c r="I310" t="s">
        <v>1161</v>
      </c>
      <c r="J310" t="s">
        <v>202</v>
      </c>
      <c r="K310" t="str">
        <f t="shared" si="55"/>
        <v>6234875183</v>
      </c>
      <c r="L310" t="str">
        <f>""</f>
        <v/>
      </c>
      <c r="M310" t="str">
        <f t="shared" si="56"/>
        <v>6234875190</v>
      </c>
      <c r="N310" t="str">
        <f>""</f>
        <v/>
      </c>
      <c r="O310" t="s">
        <v>1163</v>
      </c>
      <c r="P310" t="s">
        <v>1164</v>
      </c>
      <c r="R310" t="s">
        <v>1165</v>
      </c>
      <c r="S310" t="s">
        <v>36</v>
      </c>
      <c r="T310" t="str">
        <f t="shared" si="57"/>
        <v>85345</v>
      </c>
      <c r="U310" t="str">
        <f>""</f>
        <v/>
      </c>
      <c r="V310" t="s">
        <v>1185</v>
      </c>
      <c r="X310" t="s">
        <v>1173</v>
      </c>
      <c r="Y310" t="s">
        <v>36</v>
      </c>
      <c r="Z310" t="str">
        <f>"85304"</f>
        <v>85304</v>
      </c>
      <c r="AA310" t="str">
        <f>""</f>
        <v/>
      </c>
      <c r="AB310" t="s">
        <v>1166</v>
      </c>
    </row>
    <row r="311" spans="1:28" x14ac:dyDescent="0.25">
      <c r="A311">
        <v>4237</v>
      </c>
      <c r="B311" t="str">
        <f t="shared" si="54"/>
        <v>070211000</v>
      </c>
      <c r="C311" t="s">
        <v>1159</v>
      </c>
      <c r="D311">
        <v>4998</v>
      </c>
      <c r="E311" t="str">
        <f>"070211110"</f>
        <v>070211110</v>
      </c>
      <c r="F311" t="s">
        <v>1186</v>
      </c>
      <c r="G311" t="s">
        <v>42</v>
      </c>
      <c r="H311" t="s">
        <v>1160</v>
      </c>
      <c r="I311" t="s">
        <v>1161</v>
      </c>
      <c r="J311" t="s">
        <v>1187</v>
      </c>
      <c r="K311" t="str">
        <f t="shared" si="55"/>
        <v>6234875183</v>
      </c>
      <c r="L311" t="str">
        <f>""</f>
        <v/>
      </c>
      <c r="M311" t="str">
        <f t="shared" si="56"/>
        <v>6234875190</v>
      </c>
      <c r="N311" t="str">
        <f>""</f>
        <v/>
      </c>
      <c r="O311" t="s">
        <v>1163</v>
      </c>
      <c r="P311" t="s">
        <v>1164</v>
      </c>
      <c r="R311" t="s">
        <v>1165</v>
      </c>
      <c r="S311" t="s">
        <v>36</v>
      </c>
      <c r="T311" t="str">
        <f t="shared" si="57"/>
        <v>85345</v>
      </c>
      <c r="U311" t="str">
        <f>""</f>
        <v/>
      </c>
      <c r="V311" t="s">
        <v>1188</v>
      </c>
      <c r="X311" t="s">
        <v>1165</v>
      </c>
      <c r="Y311" t="s">
        <v>36</v>
      </c>
      <c r="Z311" t="str">
        <f>"85345"</f>
        <v>85345</v>
      </c>
      <c r="AA311" t="str">
        <f>""</f>
        <v/>
      </c>
      <c r="AB311" t="s">
        <v>1166</v>
      </c>
    </row>
    <row r="312" spans="1:28" x14ac:dyDescent="0.25">
      <c r="A312">
        <v>4237</v>
      </c>
      <c r="B312" t="str">
        <f t="shared" si="54"/>
        <v>070211000</v>
      </c>
      <c r="C312" t="s">
        <v>1159</v>
      </c>
      <c r="D312">
        <v>4999</v>
      </c>
      <c r="E312" t="str">
        <f>"070211111"</f>
        <v>070211111</v>
      </c>
      <c r="F312" t="s">
        <v>1189</v>
      </c>
      <c r="G312" t="s">
        <v>42</v>
      </c>
      <c r="H312" t="s">
        <v>1160</v>
      </c>
      <c r="I312" t="s">
        <v>1161</v>
      </c>
      <c r="J312" t="s">
        <v>202</v>
      </c>
      <c r="K312" t="str">
        <f t="shared" si="55"/>
        <v>6234875183</v>
      </c>
      <c r="L312" t="str">
        <f>""</f>
        <v/>
      </c>
      <c r="M312" t="str">
        <f t="shared" si="56"/>
        <v>6234875190</v>
      </c>
      <c r="N312" t="str">
        <f>""</f>
        <v/>
      </c>
      <c r="O312" t="s">
        <v>1163</v>
      </c>
      <c r="P312" t="s">
        <v>1164</v>
      </c>
      <c r="R312" t="s">
        <v>1165</v>
      </c>
      <c r="S312" t="s">
        <v>36</v>
      </c>
      <c r="T312" t="str">
        <f t="shared" si="57"/>
        <v>85345</v>
      </c>
      <c r="U312" t="str">
        <f>""</f>
        <v/>
      </c>
      <c r="V312" t="s">
        <v>1190</v>
      </c>
      <c r="X312" t="s">
        <v>1165</v>
      </c>
      <c r="Y312" t="s">
        <v>36</v>
      </c>
      <c r="Z312" t="str">
        <f>"85345"</f>
        <v>85345</v>
      </c>
      <c r="AA312" t="str">
        <f>""</f>
        <v/>
      </c>
      <c r="AB312" t="s">
        <v>1166</v>
      </c>
    </row>
    <row r="313" spans="1:28" x14ac:dyDescent="0.25">
      <c r="A313">
        <v>4237</v>
      </c>
      <c r="B313" t="str">
        <f t="shared" si="54"/>
        <v>070211000</v>
      </c>
      <c r="C313" t="s">
        <v>1159</v>
      </c>
      <c r="D313">
        <v>5000</v>
      </c>
      <c r="E313" t="str">
        <f>"070211112"</f>
        <v>070211112</v>
      </c>
      <c r="F313" t="s">
        <v>1191</v>
      </c>
      <c r="G313" t="s">
        <v>42</v>
      </c>
      <c r="H313" t="s">
        <v>1160</v>
      </c>
      <c r="I313" t="s">
        <v>1161</v>
      </c>
      <c r="J313" t="s">
        <v>202</v>
      </c>
      <c r="K313" t="str">
        <f t="shared" si="55"/>
        <v>6234875183</v>
      </c>
      <c r="L313" t="str">
        <f>""</f>
        <v/>
      </c>
      <c r="M313" t="str">
        <f t="shared" si="56"/>
        <v>6234875190</v>
      </c>
      <c r="N313" t="str">
        <f>""</f>
        <v/>
      </c>
      <c r="O313" t="s">
        <v>1163</v>
      </c>
      <c r="P313" t="s">
        <v>1164</v>
      </c>
      <c r="R313" t="s">
        <v>1165</v>
      </c>
      <c r="S313" t="s">
        <v>36</v>
      </c>
      <c r="T313" t="str">
        <f t="shared" si="57"/>
        <v>85345</v>
      </c>
      <c r="U313" t="str">
        <f>""</f>
        <v/>
      </c>
      <c r="V313" t="s">
        <v>1192</v>
      </c>
      <c r="X313" t="s">
        <v>1165</v>
      </c>
      <c r="Y313" t="s">
        <v>36</v>
      </c>
      <c r="Z313" t="str">
        <f>"85381"</f>
        <v>85381</v>
      </c>
      <c r="AA313" t="str">
        <f>""</f>
        <v/>
      </c>
      <c r="AB313" t="s">
        <v>1166</v>
      </c>
    </row>
    <row r="314" spans="1:28" x14ac:dyDescent="0.25">
      <c r="A314">
        <v>4237</v>
      </c>
      <c r="B314" t="str">
        <f t="shared" si="54"/>
        <v>070211000</v>
      </c>
      <c r="C314" t="s">
        <v>1159</v>
      </c>
      <c r="D314">
        <v>5001</v>
      </c>
      <c r="E314" t="str">
        <f>"070211113"</f>
        <v>070211113</v>
      </c>
      <c r="F314" t="s">
        <v>1193</v>
      </c>
      <c r="G314" t="s">
        <v>42</v>
      </c>
      <c r="H314" t="s">
        <v>1160</v>
      </c>
      <c r="I314" t="s">
        <v>1161</v>
      </c>
      <c r="J314" t="s">
        <v>202</v>
      </c>
      <c r="K314" t="str">
        <f t="shared" si="55"/>
        <v>6234875183</v>
      </c>
      <c r="L314" t="str">
        <f>""</f>
        <v/>
      </c>
      <c r="M314" t="str">
        <f t="shared" si="56"/>
        <v>6234875190</v>
      </c>
      <c r="N314" t="str">
        <f>""</f>
        <v/>
      </c>
      <c r="O314" t="s">
        <v>1163</v>
      </c>
      <c r="P314" t="s">
        <v>1164</v>
      </c>
      <c r="R314" t="s">
        <v>1165</v>
      </c>
      <c r="S314" t="s">
        <v>36</v>
      </c>
      <c r="T314" t="str">
        <f t="shared" si="57"/>
        <v>85345</v>
      </c>
      <c r="U314" t="str">
        <f>""</f>
        <v/>
      </c>
      <c r="V314" t="s">
        <v>1194</v>
      </c>
      <c r="X314" t="s">
        <v>1173</v>
      </c>
      <c r="Y314" t="s">
        <v>36</v>
      </c>
      <c r="Z314" t="str">
        <f>"85304"</f>
        <v>85304</v>
      </c>
      <c r="AA314" t="str">
        <f>""</f>
        <v/>
      </c>
      <c r="AB314" t="s">
        <v>1166</v>
      </c>
    </row>
    <row r="315" spans="1:28" x14ac:dyDescent="0.25">
      <c r="A315">
        <v>4237</v>
      </c>
      <c r="B315" t="str">
        <f t="shared" si="54"/>
        <v>070211000</v>
      </c>
      <c r="C315" t="s">
        <v>1159</v>
      </c>
      <c r="D315">
        <v>5002</v>
      </c>
      <c r="E315" t="str">
        <f>"070211114"</f>
        <v>070211114</v>
      </c>
      <c r="F315" t="s">
        <v>1195</v>
      </c>
      <c r="G315" t="s">
        <v>42</v>
      </c>
      <c r="H315" t="s">
        <v>1160</v>
      </c>
      <c r="I315" t="s">
        <v>1161</v>
      </c>
      <c r="J315" t="s">
        <v>202</v>
      </c>
      <c r="K315" t="str">
        <f t="shared" si="55"/>
        <v>6234875183</v>
      </c>
      <c r="L315" t="str">
        <f>""</f>
        <v/>
      </c>
      <c r="M315" t="str">
        <f t="shared" si="56"/>
        <v>6234875190</v>
      </c>
      <c r="N315" t="str">
        <f>""</f>
        <v/>
      </c>
      <c r="O315" t="s">
        <v>1163</v>
      </c>
      <c r="P315" t="s">
        <v>1164</v>
      </c>
      <c r="R315" t="s">
        <v>1165</v>
      </c>
      <c r="S315" t="s">
        <v>36</v>
      </c>
      <c r="T315" t="str">
        <f t="shared" si="57"/>
        <v>85345</v>
      </c>
      <c r="U315" t="str">
        <f>""</f>
        <v/>
      </c>
      <c r="V315" t="s">
        <v>1196</v>
      </c>
      <c r="X315" t="s">
        <v>1173</v>
      </c>
      <c r="Y315" t="s">
        <v>36</v>
      </c>
      <c r="Z315" t="str">
        <f>"85302"</f>
        <v>85302</v>
      </c>
      <c r="AA315" t="str">
        <f>""</f>
        <v/>
      </c>
      <c r="AB315" t="s">
        <v>1166</v>
      </c>
    </row>
    <row r="316" spans="1:28" x14ac:dyDescent="0.25">
      <c r="A316">
        <v>4237</v>
      </c>
      <c r="B316" t="str">
        <f t="shared" si="54"/>
        <v>070211000</v>
      </c>
      <c r="C316" t="s">
        <v>1159</v>
      </c>
      <c r="D316">
        <v>5003</v>
      </c>
      <c r="E316" t="str">
        <f>"070211115"</f>
        <v>070211115</v>
      </c>
      <c r="F316" t="s">
        <v>1197</v>
      </c>
      <c r="G316" t="s">
        <v>42</v>
      </c>
      <c r="H316" t="s">
        <v>1160</v>
      </c>
      <c r="I316" t="s">
        <v>1161</v>
      </c>
      <c r="J316" t="s">
        <v>202</v>
      </c>
      <c r="K316" t="str">
        <f t="shared" si="55"/>
        <v>6234875183</v>
      </c>
      <c r="L316" t="str">
        <f>""</f>
        <v/>
      </c>
      <c r="M316" t="str">
        <f t="shared" si="56"/>
        <v>6234875190</v>
      </c>
      <c r="N316" t="str">
        <f>""</f>
        <v/>
      </c>
      <c r="O316" t="s">
        <v>1163</v>
      </c>
      <c r="P316" t="s">
        <v>1164</v>
      </c>
      <c r="R316" t="s">
        <v>1165</v>
      </c>
      <c r="S316" t="s">
        <v>36</v>
      </c>
      <c r="T316" t="str">
        <f t="shared" si="57"/>
        <v>85345</v>
      </c>
      <c r="U316" t="str">
        <f>""</f>
        <v/>
      </c>
      <c r="V316" t="s">
        <v>1198</v>
      </c>
      <c r="X316" t="s">
        <v>1165</v>
      </c>
      <c r="Y316" t="s">
        <v>36</v>
      </c>
      <c r="Z316" t="str">
        <f>"85381"</f>
        <v>85381</v>
      </c>
      <c r="AA316" t="str">
        <f>""</f>
        <v/>
      </c>
      <c r="AB316" t="s">
        <v>1166</v>
      </c>
    </row>
    <row r="317" spans="1:28" x14ac:dyDescent="0.25">
      <c r="A317">
        <v>4237</v>
      </c>
      <c r="B317" t="str">
        <f t="shared" si="54"/>
        <v>070211000</v>
      </c>
      <c r="C317" t="s">
        <v>1159</v>
      </c>
      <c r="D317">
        <v>5004</v>
      </c>
      <c r="E317" t="str">
        <f>"070211116"</f>
        <v>070211116</v>
      </c>
      <c r="F317" t="s">
        <v>1199</v>
      </c>
      <c r="G317" t="s">
        <v>42</v>
      </c>
      <c r="H317" t="s">
        <v>1160</v>
      </c>
      <c r="I317" t="s">
        <v>1161</v>
      </c>
      <c r="J317" t="s">
        <v>202</v>
      </c>
      <c r="K317" t="str">
        <f t="shared" si="55"/>
        <v>6234875183</v>
      </c>
      <c r="L317" t="str">
        <f>""</f>
        <v/>
      </c>
      <c r="M317" t="str">
        <f t="shared" si="56"/>
        <v>6234875190</v>
      </c>
      <c r="N317" t="str">
        <f>""</f>
        <v/>
      </c>
      <c r="O317" t="s">
        <v>1163</v>
      </c>
      <c r="P317" t="s">
        <v>1164</v>
      </c>
      <c r="R317" t="s">
        <v>1165</v>
      </c>
      <c r="S317" t="s">
        <v>36</v>
      </c>
      <c r="T317" t="str">
        <f t="shared" si="57"/>
        <v>85345</v>
      </c>
      <c r="U317" t="str">
        <f>""</f>
        <v/>
      </c>
      <c r="V317" t="s">
        <v>1200</v>
      </c>
      <c r="X317" t="s">
        <v>1165</v>
      </c>
      <c r="Y317" t="s">
        <v>36</v>
      </c>
      <c r="Z317" t="str">
        <f>"85345"</f>
        <v>85345</v>
      </c>
      <c r="AA317" t="str">
        <f>""</f>
        <v/>
      </c>
      <c r="AB317" t="s">
        <v>1166</v>
      </c>
    </row>
    <row r="318" spans="1:28" x14ac:dyDescent="0.25">
      <c r="A318">
        <v>4237</v>
      </c>
      <c r="B318" t="str">
        <f t="shared" si="54"/>
        <v>070211000</v>
      </c>
      <c r="C318" t="s">
        <v>1159</v>
      </c>
      <c r="D318">
        <v>5005</v>
      </c>
      <c r="E318" t="str">
        <f>"070211117"</f>
        <v>070211117</v>
      </c>
      <c r="F318" t="s">
        <v>1201</v>
      </c>
      <c r="G318" t="s">
        <v>42</v>
      </c>
      <c r="H318" t="s">
        <v>1160</v>
      </c>
      <c r="I318" t="s">
        <v>1161</v>
      </c>
      <c r="J318" t="s">
        <v>202</v>
      </c>
      <c r="K318" t="str">
        <f t="shared" si="55"/>
        <v>6234875183</v>
      </c>
      <c r="L318" t="str">
        <f>""</f>
        <v/>
      </c>
      <c r="M318" t="str">
        <f t="shared" si="56"/>
        <v>6234875190</v>
      </c>
      <c r="N318" t="str">
        <f>""</f>
        <v/>
      </c>
      <c r="O318" t="s">
        <v>1163</v>
      </c>
      <c r="P318" t="s">
        <v>1164</v>
      </c>
      <c r="R318" t="s">
        <v>1165</v>
      </c>
      <c r="S318" t="s">
        <v>36</v>
      </c>
      <c r="T318" t="str">
        <f t="shared" si="57"/>
        <v>85345</v>
      </c>
      <c r="U318" t="str">
        <f>""</f>
        <v/>
      </c>
      <c r="V318" t="s">
        <v>1202</v>
      </c>
      <c r="X318" t="s">
        <v>1165</v>
      </c>
      <c r="Y318" t="s">
        <v>36</v>
      </c>
      <c r="Z318" t="str">
        <f>"85381"</f>
        <v>85381</v>
      </c>
      <c r="AA318" t="str">
        <f>""</f>
        <v/>
      </c>
      <c r="AB318" t="s">
        <v>1166</v>
      </c>
    </row>
    <row r="319" spans="1:28" x14ac:dyDescent="0.25">
      <c r="A319">
        <v>4237</v>
      </c>
      <c r="B319" t="str">
        <f t="shared" si="54"/>
        <v>070211000</v>
      </c>
      <c r="C319" t="s">
        <v>1159</v>
      </c>
      <c r="D319">
        <v>5006</v>
      </c>
      <c r="E319" t="str">
        <f>"070211118"</f>
        <v>070211118</v>
      </c>
      <c r="F319" t="s">
        <v>1203</v>
      </c>
      <c r="G319" t="s">
        <v>42</v>
      </c>
      <c r="H319" t="s">
        <v>1160</v>
      </c>
      <c r="I319" t="s">
        <v>1161</v>
      </c>
      <c r="J319" t="s">
        <v>202</v>
      </c>
      <c r="K319" t="str">
        <f t="shared" si="55"/>
        <v>6234875183</v>
      </c>
      <c r="L319" t="str">
        <f>""</f>
        <v/>
      </c>
      <c r="M319" t="str">
        <f t="shared" si="56"/>
        <v>6234875190</v>
      </c>
      <c r="N319" t="str">
        <f>""</f>
        <v/>
      </c>
      <c r="O319" t="s">
        <v>1163</v>
      </c>
      <c r="P319" t="s">
        <v>1164</v>
      </c>
      <c r="R319" t="s">
        <v>1165</v>
      </c>
      <c r="S319" t="s">
        <v>36</v>
      </c>
      <c r="T319" t="str">
        <f t="shared" si="57"/>
        <v>85345</v>
      </c>
      <c r="U319" t="str">
        <f>""</f>
        <v/>
      </c>
      <c r="V319" t="s">
        <v>1204</v>
      </c>
      <c r="X319" t="s">
        <v>1165</v>
      </c>
      <c r="Y319" t="s">
        <v>36</v>
      </c>
      <c r="Z319" t="str">
        <f>"85382"</f>
        <v>85382</v>
      </c>
      <c r="AA319" t="str">
        <f>""</f>
        <v/>
      </c>
      <c r="AB319" t="s">
        <v>1166</v>
      </c>
    </row>
    <row r="320" spans="1:28" x14ac:dyDescent="0.25">
      <c r="A320">
        <v>4237</v>
      </c>
      <c r="B320" t="str">
        <f t="shared" si="54"/>
        <v>070211000</v>
      </c>
      <c r="C320" t="s">
        <v>1159</v>
      </c>
      <c r="D320">
        <v>5007</v>
      </c>
      <c r="E320" t="str">
        <f>"070211119"</f>
        <v>070211119</v>
      </c>
      <c r="F320" t="s">
        <v>1205</v>
      </c>
      <c r="G320" t="s">
        <v>42</v>
      </c>
      <c r="H320" t="s">
        <v>1160</v>
      </c>
      <c r="I320" t="s">
        <v>1161</v>
      </c>
      <c r="J320" t="s">
        <v>202</v>
      </c>
      <c r="K320" t="str">
        <f t="shared" si="55"/>
        <v>6234875183</v>
      </c>
      <c r="L320" t="str">
        <f>""</f>
        <v/>
      </c>
      <c r="M320" t="str">
        <f t="shared" si="56"/>
        <v>6234875190</v>
      </c>
      <c r="N320" t="str">
        <f>""</f>
        <v/>
      </c>
      <c r="O320" t="s">
        <v>1163</v>
      </c>
      <c r="P320" t="s">
        <v>1164</v>
      </c>
      <c r="R320" t="s">
        <v>1165</v>
      </c>
      <c r="S320" t="s">
        <v>36</v>
      </c>
      <c r="T320" t="str">
        <f t="shared" si="57"/>
        <v>85345</v>
      </c>
      <c r="U320" t="str">
        <f>""</f>
        <v/>
      </c>
      <c r="V320" t="s">
        <v>1206</v>
      </c>
      <c r="X320" t="s">
        <v>1173</v>
      </c>
      <c r="Y320" t="s">
        <v>36</v>
      </c>
      <c r="Z320" t="str">
        <f>"85306"</f>
        <v>85306</v>
      </c>
      <c r="AA320" t="str">
        <f>""</f>
        <v/>
      </c>
      <c r="AB320" t="s">
        <v>1166</v>
      </c>
    </row>
    <row r="321" spans="1:28" x14ac:dyDescent="0.25">
      <c r="A321">
        <v>4237</v>
      </c>
      <c r="B321" t="str">
        <f t="shared" si="54"/>
        <v>070211000</v>
      </c>
      <c r="C321" t="s">
        <v>1159</v>
      </c>
      <c r="D321">
        <v>5008</v>
      </c>
      <c r="E321" t="str">
        <f>"070211120"</f>
        <v>070211120</v>
      </c>
      <c r="F321" t="s">
        <v>1207</v>
      </c>
      <c r="G321" t="s">
        <v>42</v>
      </c>
      <c r="H321" t="s">
        <v>1160</v>
      </c>
      <c r="I321" t="s">
        <v>1161</v>
      </c>
      <c r="J321" t="s">
        <v>202</v>
      </c>
      <c r="K321" t="str">
        <f t="shared" si="55"/>
        <v>6234875183</v>
      </c>
      <c r="L321" t="str">
        <f>""</f>
        <v/>
      </c>
      <c r="M321" t="str">
        <f t="shared" si="56"/>
        <v>6234875190</v>
      </c>
      <c r="N321" t="str">
        <f>""</f>
        <v/>
      </c>
      <c r="O321" t="s">
        <v>1163</v>
      </c>
      <c r="P321" t="s">
        <v>1164</v>
      </c>
      <c r="R321" t="s">
        <v>1165</v>
      </c>
      <c r="S321" t="s">
        <v>36</v>
      </c>
      <c r="T321" t="str">
        <f t="shared" si="57"/>
        <v>85345</v>
      </c>
      <c r="U321" t="str">
        <f>""</f>
        <v/>
      </c>
      <c r="V321" t="s">
        <v>1208</v>
      </c>
      <c r="X321" t="s">
        <v>1173</v>
      </c>
      <c r="Y321" t="s">
        <v>36</v>
      </c>
      <c r="Z321" t="str">
        <f>"85304"</f>
        <v>85304</v>
      </c>
      <c r="AA321" t="str">
        <f>""</f>
        <v/>
      </c>
      <c r="AB321" t="s">
        <v>1166</v>
      </c>
    </row>
    <row r="322" spans="1:28" x14ac:dyDescent="0.25">
      <c r="A322">
        <v>4237</v>
      </c>
      <c r="B322" t="str">
        <f t="shared" si="54"/>
        <v>070211000</v>
      </c>
      <c r="C322" t="s">
        <v>1159</v>
      </c>
      <c r="D322">
        <v>5009</v>
      </c>
      <c r="E322" t="str">
        <f>"070211121"</f>
        <v>070211121</v>
      </c>
      <c r="F322" t="s">
        <v>1209</v>
      </c>
      <c r="G322" t="s">
        <v>42</v>
      </c>
      <c r="H322" t="s">
        <v>1160</v>
      </c>
      <c r="I322" t="s">
        <v>1161</v>
      </c>
      <c r="J322" t="s">
        <v>202</v>
      </c>
      <c r="K322" t="str">
        <f t="shared" si="55"/>
        <v>6234875183</v>
      </c>
      <c r="L322" t="str">
        <f>""</f>
        <v/>
      </c>
      <c r="M322" t="str">
        <f t="shared" si="56"/>
        <v>6234875190</v>
      </c>
      <c r="N322" t="str">
        <f>""</f>
        <v/>
      </c>
      <c r="O322" t="s">
        <v>1163</v>
      </c>
      <c r="P322" t="s">
        <v>1164</v>
      </c>
      <c r="R322" t="s">
        <v>1165</v>
      </c>
      <c r="S322" t="s">
        <v>36</v>
      </c>
      <c r="T322" t="str">
        <f t="shared" si="57"/>
        <v>85345</v>
      </c>
      <c r="U322" t="str">
        <f>""</f>
        <v/>
      </c>
      <c r="V322" t="s">
        <v>1210</v>
      </c>
      <c r="X322" t="s">
        <v>1165</v>
      </c>
      <c r="Y322" t="s">
        <v>36</v>
      </c>
      <c r="Z322" t="str">
        <f>"85345"</f>
        <v>85345</v>
      </c>
      <c r="AA322" t="str">
        <f>""</f>
        <v/>
      </c>
      <c r="AB322" t="s">
        <v>1166</v>
      </c>
    </row>
    <row r="323" spans="1:28" x14ac:dyDescent="0.25">
      <c r="A323">
        <v>4237</v>
      </c>
      <c r="B323" t="str">
        <f t="shared" si="54"/>
        <v>070211000</v>
      </c>
      <c r="C323" t="s">
        <v>1159</v>
      </c>
      <c r="D323">
        <v>5010</v>
      </c>
      <c r="E323" t="str">
        <f>"070211122"</f>
        <v>070211122</v>
      </c>
      <c r="F323" t="s">
        <v>1211</v>
      </c>
      <c r="G323" t="s">
        <v>42</v>
      </c>
      <c r="H323" t="s">
        <v>1160</v>
      </c>
      <c r="I323" t="s">
        <v>1161</v>
      </c>
      <c r="J323" t="s">
        <v>202</v>
      </c>
      <c r="K323" t="str">
        <f t="shared" si="55"/>
        <v>6234875183</v>
      </c>
      <c r="L323" t="str">
        <f>""</f>
        <v/>
      </c>
      <c r="M323" t="str">
        <f t="shared" si="56"/>
        <v>6234875190</v>
      </c>
      <c r="N323" t="str">
        <f>""</f>
        <v/>
      </c>
      <c r="O323" t="s">
        <v>1163</v>
      </c>
      <c r="P323" t="s">
        <v>1164</v>
      </c>
      <c r="R323" t="s">
        <v>1165</v>
      </c>
      <c r="S323" t="s">
        <v>36</v>
      </c>
      <c r="T323" t="str">
        <f t="shared" si="57"/>
        <v>85345</v>
      </c>
      <c r="U323" t="str">
        <f>""</f>
        <v/>
      </c>
      <c r="V323" t="s">
        <v>1212</v>
      </c>
      <c r="X323" t="s">
        <v>1165</v>
      </c>
      <c r="Y323" t="s">
        <v>36</v>
      </c>
      <c r="Z323" t="str">
        <f>"85381"</f>
        <v>85381</v>
      </c>
      <c r="AA323" t="str">
        <f>""</f>
        <v/>
      </c>
      <c r="AB323" t="s">
        <v>1166</v>
      </c>
    </row>
    <row r="324" spans="1:28" x14ac:dyDescent="0.25">
      <c r="A324">
        <v>4237</v>
      </c>
      <c r="B324" t="str">
        <f t="shared" si="54"/>
        <v>070211000</v>
      </c>
      <c r="C324" t="s">
        <v>1159</v>
      </c>
      <c r="D324">
        <v>5011</v>
      </c>
      <c r="E324" t="str">
        <f>"070211123"</f>
        <v>070211123</v>
      </c>
      <c r="F324" t="s">
        <v>1213</v>
      </c>
      <c r="G324" t="s">
        <v>42</v>
      </c>
      <c r="H324" t="s">
        <v>1160</v>
      </c>
      <c r="I324" t="s">
        <v>1161</v>
      </c>
      <c r="J324" t="s">
        <v>202</v>
      </c>
      <c r="K324" t="str">
        <f t="shared" si="55"/>
        <v>6234875183</v>
      </c>
      <c r="L324" t="str">
        <f>""</f>
        <v/>
      </c>
      <c r="M324" t="str">
        <f t="shared" si="56"/>
        <v>6234875190</v>
      </c>
      <c r="N324" t="str">
        <f>""</f>
        <v/>
      </c>
      <c r="O324" t="s">
        <v>1163</v>
      </c>
      <c r="P324" t="s">
        <v>1164</v>
      </c>
      <c r="R324" t="s">
        <v>1165</v>
      </c>
      <c r="S324" t="s">
        <v>36</v>
      </c>
      <c r="T324" t="str">
        <f t="shared" si="57"/>
        <v>85345</v>
      </c>
      <c r="U324" t="str">
        <f>""</f>
        <v/>
      </c>
      <c r="V324" t="s">
        <v>1214</v>
      </c>
      <c r="X324" t="s">
        <v>1165</v>
      </c>
      <c r="Y324" t="s">
        <v>36</v>
      </c>
      <c r="Z324" t="str">
        <f>"85382"</f>
        <v>85382</v>
      </c>
      <c r="AA324" t="str">
        <f>""</f>
        <v/>
      </c>
      <c r="AB324" t="s">
        <v>1166</v>
      </c>
    </row>
    <row r="325" spans="1:28" x14ac:dyDescent="0.25">
      <c r="A325">
        <v>4237</v>
      </c>
      <c r="B325" t="str">
        <f t="shared" si="54"/>
        <v>070211000</v>
      </c>
      <c r="C325" t="s">
        <v>1159</v>
      </c>
      <c r="D325">
        <v>5012</v>
      </c>
      <c r="E325" t="str">
        <f>"070211124"</f>
        <v>070211124</v>
      </c>
      <c r="F325" t="s">
        <v>1215</v>
      </c>
      <c r="G325" t="s">
        <v>42</v>
      </c>
      <c r="H325" t="s">
        <v>1160</v>
      </c>
      <c r="I325" t="s">
        <v>1161</v>
      </c>
      <c r="J325" t="s">
        <v>202</v>
      </c>
      <c r="K325" t="str">
        <f t="shared" si="55"/>
        <v>6234875183</v>
      </c>
      <c r="L325" t="str">
        <f>""</f>
        <v/>
      </c>
      <c r="M325" t="str">
        <f t="shared" si="56"/>
        <v>6234875190</v>
      </c>
      <c r="N325" t="str">
        <f>""</f>
        <v/>
      </c>
      <c r="O325" t="s">
        <v>1163</v>
      </c>
      <c r="P325" t="s">
        <v>1164</v>
      </c>
      <c r="R325" t="s">
        <v>1165</v>
      </c>
      <c r="S325" t="s">
        <v>36</v>
      </c>
      <c r="T325" t="str">
        <f t="shared" si="57"/>
        <v>85345</v>
      </c>
      <c r="U325" t="str">
        <f>""</f>
        <v/>
      </c>
      <c r="V325" t="s">
        <v>1216</v>
      </c>
      <c r="X325" t="s">
        <v>1165</v>
      </c>
      <c r="Y325" t="s">
        <v>36</v>
      </c>
      <c r="Z325" t="str">
        <f>"85345"</f>
        <v>85345</v>
      </c>
      <c r="AA325" t="str">
        <f>""</f>
        <v/>
      </c>
      <c r="AB325" t="s">
        <v>1166</v>
      </c>
    </row>
    <row r="326" spans="1:28" x14ac:dyDescent="0.25">
      <c r="A326">
        <v>4237</v>
      </c>
      <c r="B326" t="str">
        <f t="shared" si="54"/>
        <v>070211000</v>
      </c>
      <c r="C326" t="s">
        <v>1159</v>
      </c>
      <c r="D326">
        <v>5013</v>
      </c>
      <c r="E326" t="str">
        <f>"070211260"</f>
        <v>070211260</v>
      </c>
      <c r="F326" t="s">
        <v>1217</v>
      </c>
      <c r="G326" t="s">
        <v>42</v>
      </c>
      <c r="H326" t="s">
        <v>1160</v>
      </c>
      <c r="I326" t="s">
        <v>1161</v>
      </c>
      <c r="J326" t="s">
        <v>202</v>
      </c>
      <c r="K326" t="str">
        <f t="shared" si="55"/>
        <v>6234875183</v>
      </c>
      <c r="L326" t="str">
        <f>""</f>
        <v/>
      </c>
      <c r="M326" t="str">
        <f t="shared" si="56"/>
        <v>6234875190</v>
      </c>
      <c r="N326" t="str">
        <f>""</f>
        <v/>
      </c>
      <c r="O326" t="s">
        <v>1163</v>
      </c>
      <c r="P326" t="s">
        <v>1164</v>
      </c>
      <c r="R326" t="s">
        <v>1165</v>
      </c>
      <c r="S326" t="s">
        <v>36</v>
      </c>
      <c r="T326" t="str">
        <f t="shared" si="57"/>
        <v>85345</v>
      </c>
      <c r="U326" t="str">
        <f>""</f>
        <v/>
      </c>
      <c r="V326" t="s">
        <v>1218</v>
      </c>
      <c r="X326" t="s">
        <v>1165</v>
      </c>
      <c r="Y326" t="s">
        <v>36</v>
      </c>
      <c r="Z326" t="str">
        <f>"85345"</f>
        <v>85345</v>
      </c>
      <c r="AA326" t="str">
        <f>""</f>
        <v/>
      </c>
      <c r="AB326" t="s">
        <v>1166</v>
      </c>
    </row>
    <row r="327" spans="1:28" x14ac:dyDescent="0.25">
      <c r="A327">
        <v>4237</v>
      </c>
      <c r="B327" t="str">
        <f t="shared" si="54"/>
        <v>070211000</v>
      </c>
      <c r="C327" t="s">
        <v>1159</v>
      </c>
      <c r="D327">
        <v>5014</v>
      </c>
      <c r="E327" t="str">
        <f>"070211261"</f>
        <v>070211261</v>
      </c>
      <c r="F327" t="s">
        <v>1219</v>
      </c>
      <c r="G327" t="s">
        <v>42</v>
      </c>
      <c r="H327" t="s">
        <v>1160</v>
      </c>
      <c r="I327" t="s">
        <v>1161</v>
      </c>
      <c r="J327" t="s">
        <v>202</v>
      </c>
      <c r="K327" t="str">
        <f t="shared" si="55"/>
        <v>6234875183</v>
      </c>
      <c r="L327" t="str">
        <f>""</f>
        <v/>
      </c>
      <c r="M327" t="str">
        <f t="shared" si="56"/>
        <v>6234875190</v>
      </c>
      <c r="N327" t="str">
        <f>""</f>
        <v/>
      </c>
      <c r="O327" t="s">
        <v>1163</v>
      </c>
      <c r="P327" t="s">
        <v>1164</v>
      </c>
      <c r="R327" t="s">
        <v>1165</v>
      </c>
      <c r="S327" t="s">
        <v>36</v>
      </c>
      <c r="T327" t="str">
        <f t="shared" si="57"/>
        <v>85345</v>
      </c>
      <c r="U327" t="str">
        <f>""</f>
        <v/>
      </c>
      <c r="V327" t="s">
        <v>1220</v>
      </c>
      <c r="X327" t="s">
        <v>1173</v>
      </c>
      <c r="Y327" t="s">
        <v>36</v>
      </c>
      <c r="Z327" t="str">
        <f>"85302"</f>
        <v>85302</v>
      </c>
      <c r="AA327" t="str">
        <f>""</f>
        <v/>
      </c>
      <c r="AB327" t="s">
        <v>1166</v>
      </c>
    </row>
    <row r="328" spans="1:28" x14ac:dyDescent="0.25">
      <c r="A328">
        <v>4237</v>
      </c>
      <c r="B328" t="str">
        <f t="shared" si="54"/>
        <v>070211000</v>
      </c>
      <c r="C328" t="s">
        <v>1159</v>
      </c>
      <c r="D328">
        <v>5015</v>
      </c>
      <c r="E328" t="str">
        <f>"070211262"</f>
        <v>070211262</v>
      </c>
      <c r="F328" t="s">
        <v>1221</v>
      </c>
      <c r="G328" t="s">
        <v>42</v>
      </c>
      <c r="H328" t="s">
        <v>1160</v>
      </c>
      <c r="I328" t="s">
        <v>1161</v>
      </c>
      <c r="J328" t="s">
        <v>202</v>
      </c>
      <c r="K328" t="str">
        <f t="shared" si="55"/>
        <v>6234875183</v>
      </c>
      <c r="L328" t="str">
        <f>""</f>
        <v/>
      </c>
      <c r="M328" t="str">
        <f t="shared" si="56"/>
        <v>6234875190</v>
      </c>
      <c r="N328" t="str">
        <f>""</f>
        <v/>
      </c>
      <c r="O328" t="s">
        <v>1163</v>
      </c>
      <c r="P328" t="s">
        <v>1164</v>
      </c>
      <c r="R328" t="s">
        <v>1165</v>
      </c>
      <c r="S328" t="s">
        <v>36</v>
      </c>
      <c r="T328" t="str">
        <f t="shared" si="57"/>
        <v>85345</v>
      </c>
      <c r="U328" t="str">
        <f>""</f>
        <v/>
      </c>
      <c r="V328" t="s">
        <v>1222</v>
      </c>
      <c r="X328" t="s">
        <v>1173</v>
      </c>
      <c r="Y328" t="s">
        <v>36</v>
      </c>
      <c r="Z328" t="str">
        <f>"85304"</f>
        <v>85304</v>
      </c>
      <c r="AA328" t="str">
        <f>""</f>
        <v/>
      </c>
      <c r="AB328" t="s">
        <v>1166</v>
      </c>
    </row>
    <row r="329" spans="1:28" x14ac:dyDescent="0.25">
      <c r="A329">
        <v>4237</v>
      </c>
      <c r="B329" t="str">
        <f t="shared" si="54"/>
        <v>070211000</v>
      </c>
      <c r="C329" t="s">
        <v>1159</v>
      </c>
      <c r="D329">
        <v>5016</v>
      </c>
      <c r="E329" t="str">
        <f>"070211263"</f>
        <v>070211263</v>
      </c>
      <c r="F329" t="s">
        <v>1223</v>
      </c>
      <c r="G329" t="s">
        <v>42</v>
      </c>
      <c r="H329" t="s">
        <v>1160</v>
      </c>
      <c r="I329" t="s">
        <v>1161</v>
      </c>
      <c r="J329" t="s">
        <v>202</v>
      </c>
      <c r="K329" t="str">
        <f t="shared" si="55"/>
        <v>6234875183</v>
      </c>
      <c r="L329" t="str">
        <f>""</f>
        <v/>
      </c>
      <c r="M329" t="str">
        <f t="shared" si="56"/>
        <v>6234875190</v>
      </c>
      <c r="N329" t="str">
        <f>""</f>
        <v/>
      </c>
      <c r="O329" t="s">
        <v>1163</v>
      </c>
      <c r="P329" t="s">
        <v>1164</v>
      </c>
      <c r="R329" t="s">
        <v>1165</v>
      </c>
      <c r="S329" t="s">
        <v>36</v>
      </c>
      <c r="T329" t="str">
        <f t="shared" si="57"/>
        <v>85345</v>
      </c>
      <c r="U329" t="str">
        <f>""</f>
        <v/>
      </c>
      <c r="V329" t="s">
        <v>1224</v>
      </c>
      <c r="X329" t="s">
        <v>1165</v>
      </c>
      <c r="Y329" t="s">
        <v>36</v>
      </c>
      <c r="Z329" t="str">
        <f>"85381"</f>
        <v>85381</v>
      </c>
      <c r="AA329" t="str">
        <f>""</f>
        <v/>
      </c>
      <c r="AB329" t="s">
        <v>1166</v>
      </c>
    </row>
    <row r="330" spans="1:28" x14ac:dyDescent="0.25">
      <c r="A330">
        <v>4237</v>
      </c>
      <c r="B330" t="str">
        <f t="shared" si="54"/>
        <v>070211000</v>
      </c>
      <c r="C330" t="s">
        <v>1159</v>
      </c>
      <c r="D330">
        <v>5017</v>
      </c>
      <c r="E330" t="str">
        <f>"070211264"</f>
        <v>070211264</v>
      </c>
      <c r="F330" t="s">
        <v>1225</v>
      </c>
      <c r="G330" t="s">
        <v>42</v>
      </c>
      <c r="H330" t="s">
        <v>1160</v>
      </c>
      <c r="I330" t="s">
        <v>1161</v>
      </c>
      <c r="J330" t="s">
        <v>202</v>
      </c>
      <c r="K330" t="str">
        <f t="shared" si="55"/>
        <v>6234875183</v>
      </c>
      <c r="L330" t="str">
        <f>""</f>
        <v/>
      </c>
      <c r="M330" t="str">
        <f t="shared" si="56"/>
        <v>6234875190</v>
      </c>
      <c r="N330" t="str">
        <f>""</f>
        <v/>
      </c>
      <c r="O330" t="s">
        <v>1163</v>
      </c>
      <c r="P330" t="s">
        <v>1164</v>
      </c>
      <c r="R330" t="s">
        <v>1165</v>
      </c>
      <c r="S330" t="s">
        <v>36</v>
      </c>
      <c r="T330" t="str">
        <f t="shared" si="57"/>
        <v>85345</v>
      </c>
      <c r="U330" t="str">
        <f>""</f>
        <v/>
      </c>
      <c r="V330" t="s">
        <v>1226</v>
      </c>
      <c r="X330" t="s">
        <v>1165</v>
      </c>
      <c r="Y330" t="s">
        <v>36</v>
      </c>
      <c r="Z330" t="str">
        <f>"85302"</f>
        <v>85302</v>
      </c>
      <c r="AA330" t="str">
        <f>""</f>
        <v/>
      </c>
      <c r="AB330" t="s">
        <v>1166</v>
      </c>
    </row>
    <row r="331" spans="1:28" x14ac:dyDescent="0.25">
      <c r="A331">
        <v>4237</v>
      </c>
      <c r="B331" t="str">
        <f t="shared" si="54"/>
        <v>070211000</v>
      </c>
      <c r="C331" t="s">
        <v>1159</v>
      </c>
      <c r="D331">
        <v>6005</v>
      </c>
      <c r="E331" t="str">
        <f>"070211125"</f>
        <v>070211125</v>
      </c>
      <c r="F331" t="s">
        <v>1227</v>
      </c>
      <c r="G331" t="s">
        <v>42</v>
      </c>
      <c r="H331" t="s">
        <v>1160</v>
      </c>
      <c r="I331" t="s">
        <v>1161</v>
      </c>
      <c r="J331" t="s">
        <v>202</v>
      </c>
      <c r="K331" t="str">
        <f t="shared" si="55"/>
        <v>6234875183</v>
      </c>
      <c r="L331" t="str">
        <f>""</f>
        <v/>
      </c>
      <c r="M331" t="str">
        <f t="shared" si="56"/>
        <v>6234875190</v>
      </c>
      <c r="N331" t="str">
        <f>""</f>
        <v/>
      </c>
      <c r="O331" t="s">
        <v>1163</v>
      </c>
      <c r="P331" t="s">
        <v>1164</v>
      </c>
      <c r="R331" t="s">
        <v>1165</v>
      </c>
      <c r="S331" t="s">
        <v>36</v>
      </c>
      <c r="T331" t="str">
        <f t="shared" si="57"/>
        <v>85345</v>
      </c>
      <c r="U331" t="str">
        <f>""</f>
        <v/>
      </c>
      <c r="V331" t="s">
        <v>1228</v>
      </c>
      <c r="X331" t="s">
        <v>1165</v>
      </c>
      <c r="Y331" t="s">
        <v>36</v>
      </c>
      <c r="Z331" t="str">
        <f>"85382"</f>
        <v>85382</v>
      </c>
      <c r="AA331" t="str">
        <f>""</f>
        <v/>
      </c>
      <c r="AB331" t="s">
        <v>1166</v>
      </c>
    </row>
    <row r="332" spans="1:28" x14ac:dyDescent="0.25">
      <c r="A332">
        <v>4237</v>
      </c>
      <c r="B332" t="str">
        <f t="shared" si="54"/>
        <v>070211000</v>
      </c>
      <c r="C332" t="s">
        <v>1159</v>
      </c>
      <c r="D332">
        <v>6231</v>
      </c>
      <c r="E332" t="str">
        <f>"070211266"</f>
        <v>070211266</v>
      </c>
      <c r="F332" t="s">
        <v>1229</v>
      </c>
      <c r="G332" t="s">
        <v>42</v>
      </c>
      <c r="H332" t="s">
        <v>1160</v>
      </c>
      <c r="I332" t="s">
        <v>1161</v>
      </c>
      <c r="J332" t="s">
        <v>202</v>
      </c>
      <c r="K332" t="str">
        <f t="shared" si="55"/>
        <v>6234875183</v>
      </c>
      <c r="L332" t="str">
        <f>""</f>
        <v/>
      </c>
      <c r="M332" t="str">
        <f t="shared" si="56"/>
        <v>6234875190</v>
      </c>
      <c r="N332" t="str">
        <f>""</f>
        <v/>
      </c>
      <c r="O332" t="s">
        <v>1163</v>
      </c>
      <c r="P332" t="s">
        <v>1164</v>
      </c>
      <c r="R332" t="s">
        <v>1165</v>
      </c>
      <c r="S332" t="s">
        <v>36</v>
      </c>
      <c r="T332" t="str">
        <f t="shared" si="57"/>
        <v>85345</v>
      </c>
      <c r="U332" t="str">
        <f>""</f>
        <v/>
      </c>
      <c r="V332" t="s">
        <v>1218</v>
      </c>
      <c r="X332" t="s">
        <v>1165</v>
      </c>
      <c r="Y332" t="s">
        <v>36</v>
      </c>
      <c r="Z332" t="str">
        <f>"85345"</f>
        <v>85345</v>
      </c>
      <c r="AA332" t="str">
        <f>""</f>
        <v/>
      </c>
      <c r="AB332" t="s">
        <v>1166</v>
      </c>
    </row>
    <row r="333" spans="1:28" x14ac:dyDescent="0.25">
      <c r="A333">
        <v>4237</v>
      </c>
      <c r="B333" t="str">
        <f t="shared" si="54"/>
        <v>070211000</v>
      </c>
      <c r="C333" t="s">
        <v>1159</v>
      </c>
      <c r="D333">
        <v>79222</v>
      </c>
      <c r="E333" t="str">
        <f>"070211127"</f>
        <v>070211127</v>
      </c>
      <c r="F333" t="s">
        <v>1230</v>
      </c>
      <c r="G333" t="s">
        <v>42</v>
      </c>
      <c r="H333" t="s">
        <v>1160</v>
      </c>
      <c r="I333" t="s">
        <v>1161</v>
      </c>
      <c r="J333" t="s">
        <v>202</v>
      </c>
      <c r="K333" t="str">
        <f t="shared" si="55"/>
        <v>6234875183</v>
      </c>
      <c r="L333" t="str">
        <f>""</f>
        <v/>
      </c>
      <c r="M333" t="str">
        <f t="shared" si="56"/>
        <v>6234875190</v>
      </c>
      <c r="N333" t="str">
        <f>""</f>
        <v/>
      </c>
      <c r="O333" t="s">
        <v>1163</v>
      </c>
      <c r="P333" t="s">
        <v>1164</v>
      </c>
      <c r="R333" t="s">
        <v>1165</v>
      </c>
      <c r="S333" t="s">
        <v>36</v>
      </c>
      <c r="T333" t="str">
        <f t="shared" si="57"/>
        <v>85345</v>
      </c>
      <c r="U333" t="str">
        <f>""</f>
        <v/>
      </c>
      <c r="V333" t="s">
        <v>1231</v>
      </c>
      <c r="X333" t="s">
        <v>1165</v>
      </c>
      <c r="Y333" t="s">
        <v>36</v>
      </c>
      <c r="Z333" t="str">
        <f>"85382"</f>
        <v>85382</v>
      </c>
      <c r="AA333" t="str">
        <f>""</f>
        <v/>
      </c>
      <c r="AB333" t="s">
        <v>1166</v>
      </c>
    </row>
    <row r="334" spans="1:28" x14ac:dyDescent="0.25">
      <c r="A334">
        <v>4237</v>
      </c>
      <c r="B334" t="str">
        <f t="shared" si="54"/>
        <v>070211000</v>
      </c>
      <c r="C334" t="s">
        <v>1159</v>
      </c>
      <c r="D334">
        <v>79223</v>
      </c>
      <c r="E334" t="str">
        <f>"070211126"</f>
        <v>070211126</v>
      </c>
      <c r="F334" t="s">
        <v>1232</v>
      </c>
      <c r="G334" t="s">
        <v>42</v>
      </c>
      <c r="H334" t="s">
        <v>1160</v>
      </c>
      <c r="I334" t="s">
        <v>1161</v>
      </c>
      <c r="J334" t="s">
        <v>202</v>
      </c>
      <c r="K334" t="str">
        <f t="shared" si="55"/>
        <v>6234875183</v>
      </c>
      <c r="L334" t="str">
        <f>""</f>
        <v/>
      </c>
      <c r="M334" t="str">
        <f t="shared" si="56"/>
        <v>6234875190</v>
      </c>
      <c r="N334" t="str">
        <f>""</f>
        <v/>
      </c>
      <c r="O334" t="s">
        <v>1163</v>
      </c>
      <c r="P334" t="s">
        <v>1164</v>
      </c>
      <c r="R334" t="s">
        <v>1165</v>
      </c>
      <c r="S334" t="s">
        <v>36</v>
      </c>
      <c r="T334" t="str">
        <f t="shared" si="57"/>
        <v>85345</v>
      </c>
      <c r="U334" t="str">
        <f>""</f>
        <v/>
      </c>
      <c r="V334" t="s">
        <v>1233</v>
      </c>
      <c r="X334" t="s">
        <v>1165</v>
      </c>
      <c r="Y334" t="s">
        <v>36</v>
      </c>
      <c r="Z334" t="str">
        <f>"85345"</f>
        <v>85345</v>
      </c>
      <c r="AA334" t="str">
        <f>""</f>
        <v/>
      </c>
      <c r="AB334" t="s">
        <v>1166</v>
      </c>
    </row>
    <row r="335" spans="1:28" x14ac:dyDescent="0.25">
      <c r="A335">
        <v>4237</v>
      </c>
      <c r="B335" t="str">
        <f t="shared" si="54"/>
        <v>070211000</v>
      </c>
      <c r="C335" t="s">
        <v>1159</v>
      </c>
      <c r="D335">
        <v>79645</v>
      </c>
      <c r="E335" t="str">
        <f>"070211128"</f>
        <v>070211128</v>
      </c>
      <c r="F335" t="s">
        <v>1234</v>
      </c>
      <c r="G335" t="s">
        <v>42</v>
      </c>
      <c r="H335" t="s">
        <v>1160</v>
      </c>
      <c r="I335" t="s">
        <v>1161</v>
      </c>
      <c r="J335" t="s">
        <v>202</v>
      </c>
      <c r="K335" t="str">
        <f t="shared" si="55"/>
        <v>6234875183</v>
      </c>
      <c r="L335" t="str">
        <f>""</f>
        <v/>
      </c>
      <c r="M335" t="str">
        <f t="shared" si="56"/>
        <v>6234875190</v>
      </c>
      <c r="N335" t="str">
        <f>""</f>
        <v/>
      </c>
      <c r="O335" t="s">
        <v>1163</v>
      </c>
      <c r="P335" t="s">
        <v>1164</v>
      </c>
      <c r="R335" t="s">
        <v>1165</v>
      </c>
      <c r="S335" t="s">
        <v>36</v>
      </c>
      <c r="T335" t="str">
        <f t="shared" si="57"/>
        <v>85345</v>
      </c>
      <c r="U335" t="str">
        <f>""</f>
        <v/>
      </c>
      <c r="V335" t="s">
        <v>1235</v>
      </c>
      <c r="X335" t="s">
        <v>1165</v>
      </c>
      <c r="Y335" t="s">
        <v>36</v>
      </c>
      <c r="Z335" t="str">
        <f>"85382"</f>
        <v>85382</v>
      </c>
      <c r="AA335" t="str">
        <f>""</f>
        <v/>
      </c>
      <c r="AB335" t="s">
        <v>1166</v>
      </c>
    </row>
    <row r="336" spans="1:28" x14ac:dyDescent="0.25">
      <c r="A336">
        <v>4237</v>
      </c>
      <c r="B336" t="str">
        <f t="shared" si="54"/>
        <v>070211000</v>
      </c>
      <c r="C336" t="s">
        <v>1159</v>
      </c>
      <c r="D336">
        <v>81144</v>
      </c>
      <c r="E336" t="str">
        <f>"070211129"</f>
        <v>070211129</v>
      </c>
      <c r="F336" t="s">
        <v>1236</v>
      </c>
      <c r="G336" t="s">
        <v>42</v>
      </c>
      <c r="H336" t="s">
        <v>1160</v>
      </c>
      <c r="I336" t="s">
        <v>1161</v>
      </c>
      <c r="J336" t="s">
        <v>202</v>
      </c>
      <c r="K336" t="str">
        <f t="shared" si="55"/>
        <v>6234875183</v>
      </c>
      <c r="L336" t="str">
        <f>""</f>
        <v/>
      </c>
      <c r="M336" t="str">
        <f t="shared" si="56"/>
        <v>6234875190</v>
      </c>
      <c r="N336" t="str">
        <f>""</f>
        <v/>
      </c>
      <c r="O336" t="s">
        <v>1163</v>
      </c>
      <c r="P336" t="s">
        <v>1164</v>
      </c>
      <c r="R336" t="s">
        <v>1165</v>
      </c>
      <c r="S336" t="s">
        <v>36</v>
      </c>
      <c r="T336" t="str">
        <f t="shared" si="57"/>
        <v>85345</v>
      </c>
      <c r="U336" t="str">
        <f>""</f>
        <v/>
      </c>
      <c r="V336" t="s">
        <v>1237</v>
      </c>
      <c r="X336" t="s">
        <v>1165</v>
      </c>
      <c r="Y336" t="s">
        <v>36</v>
      </c>
      <c r="Z336" t="str">
        <f>"85382"</f>
        <v>85382</v>
      </c>
      <c r="AA336" t="str">
        <f>""</f>
        <v/>
      </c>
      <c r="AB336" t="s">
        <v>1166</v>
      </c>
    </row>
    <row r="337" spans="1:28" x14ac:dyDescent="0.25">
      <c r="A337">
        <v>4237</v>
      </c>
      <c r="B337" t="str">
        <f t="shared" si="54"/>
        <v>070211000</v>
      </c>
      <c r="C337" t="s">
        <v>1159</v>
      </c>
      <c r="D337">
        <v>85835</v>
      </c>
      <c r="E337" t="str">
        <f>"070211265"</f>
        <v>070211265</v>
      </c>
      <c r="F337" t="s">
        <v>1238</v>
      </c>
      <c r="G337" t="s">
        <v>42</v>
      </c>
      <c r="H337" t="s">
        <v>1160</v>
      </c>
      <c r="I337" t="s">
        <v>1161</v>
      </c>
      <c r="J337" t="s">
        <v>202</v>
      </c>
      <c r="K337" t="str">
        <f t="shared" si="55"/>
        <v>6234875183</v>
      </c>
      <c r="L337" t="str">
        <f>""</f>
        <v/>
      </c>
      <c r="M337" t="str">
        <f t="shared" si="56"/>
        <v>6234875190</v>
      </c>
      <c r="N337" t="str">
        <f>""</f>
        <v/>
      </c>
      <c r="O337" t="s">
        <v>1163</v>
      </c>
      <c r="P337" t="s">
        <v>1164</v>
      </c>
      <c r="R337" t="s">
        <v>1165</v>
      </c>
      <c r="S337" t="s">
        <v>36</v>
      </c>
      <c r="T337" t="str">
        <f t="shared" si="57"/>
        <v>85345</v>
      </c>
      <c r="U337" t="str">
        <f>""</f>
        <v/>
      </c>
      <c r="V337" t="s">
        <v>1239</v>
      </c>
      <c r="X337" t="s">
        <v>1173</v>
      </c>
      <c r="Y337" t="s">
        <v>36</v>
      </c>
      <c r="Z337" t="str">
        <f>"85305"</f>
        <v>85305</v>
      </c>
      <c r="AA337" t="str">
        <f>""</f>
        <v/>
      </c>
      <c r="AB337" t="s">
        <v>1166</v>
      </c>
    </row>
    <row r="338" spans="1:28" x14ac:dyDescent="0.25">
      <c r="A338">
        <v>4237</v>
      </c>
      <c r="B338" t="str">
        <f t="shared" si="54"/>
        <v>070211000</v>
      </c>
      <c r="C338" t="s">
        <v>1159</v>
      </c>
      <c r="D338">
        <v>87520</v>
      </c>
      <c r="E338" t="str">
        <f>"070211267"</f>
        <v>070211267</v>
      </c>
      <c r="F338" t="s">
        <v>1240</v>
      </c>
      <c r="G338" t="s">
        <v>42</v>
      </c>
      <c r="H338" t="s">
        <v>1160</v>
      </c>
      <c r="I338" t="s">
        <v>1161</v>
      </c>
      <c r="J338" t="s">
        <v>202</v>
      </c>
      <c r="K338" t="str">
        <f t="shared" si="55"/>
        <v>6234875183</v>
      </c>
      <c r="L338" t="str">
        <f>""</f>
        <v/>
      </c>
      <c r="M338" t="str">
        <f t="shared" si="56"/>
        <v>6234875190</v>
      </c>
      <c r="N338" t="str">
        <f>""</f>
        <v/>
      </c>
      <c r="O338" t="s">
        <v>1163</v>
      </c>
      <c r="P338" t="s">
        <v>1164</v>
      </c>
      <c r="R338" t="s">
        <v>1165</v>
      </c>
      <c r="S338" t="s">
        <v>36</v>
      </c>
      <c r="T338" t="str">
        <f t="shared" si="57"/>
        <v>85345</v>
      </c>
      <c r="U338" t="str">
        <f>""</f>
        <v/>
      </c>
      <c r="V338" t="s">
        <v>1241</v>
      </c>
      <c r="X338" t="s">
        <v>1165</v>
      </c>
      <c r="Y338" t="s">
        <v>36</v>
      </c>
      <c r="Z338" t="str">
        <f>"85383"</f>
        <v>85383</v>
      </c>
      <c r="AA338" t="str">
        <f>""</f>
        <v/>
      </c>
      <c r="AB338" t="s">
        <v>1166</v>
      </c>
    </row>
    <row r="339" spans="1:28" x14ac:dyDescent="0.25">
      <c r="A339">
        <v>4237</v>
      </c>
      <c r="B339" t="str">
        <f t="shared" si="54"/>
        <v>070211000</v>
      </c>
      <c r="C339" t="s">
        <v>1159</v>
      </c>
      <c r="D339">
        <v>88397</v>
      </c>
      <c r="E339" t="str">
        <f>"070211130"</f>
        <v>070211130</v>
      </c>
      <c r="F339" t="s">
        <v>1242</v>
      </c>
      <c r="G339" t="s">
        <v>42</v>
      </c>
      <c r="H339" t="s">
        <v>1160</v>
      </c>
      <c r="I339" t="s">
        <v>1161</v>
      </c>
      <c r="J339" t="s">
        <v>202</v>
      </c>
      <c r="K339" t="str">
        <f t="shared" si="55"/>
        <v>6234875183</v>
      </c>
      <c r="L339" t="str">
        <f>""</f>
        <v/>
      </c>
      <c r="M339" t="str">
        <f t="shared" si="56"/>
        <v>6234875190</v>
      </c>
      <c r="N339" t="str">
        <f>""</f>
        <v/>
      </c>
      <c r="O339" t="s">
        <v>1163</v>
      </c>
      <c r="P339" t="s">
        <v>1164</v>
      </c>
      <c r="R339" t="s">
        <v>1165</v>
      </c>
      <c r="S339" t="s">
        <v>36</v>
      </c>
      <c r="T339" t="str">
        <f t="shared" si="57"/>
        <v>85345</v>
      </c>
      <c r="U339" t="str">
        <f>""</f>
        <v/>
      </c>
      <c r="V339" t="s">
        <v>1243</v>
      </c>
      <c r="X339" t="s">
        <v>1165</v>
      </c>
      <c r="Y339" t="s">
        <v>36</v>
      </c>
      <c r="Z339" t="str">
        <f>"85383"</f>
        <v>85383</v>
      </c>
      <c r="AA339" t="str">
        <f>""</f>
        <v/>
      </c>
      <c r="AB339" t="s">
        <v>1166</v>
      </c>
    </row>
    <row r="340" spans="1:28" x14ac:dyDescent="0.25">
      <c r="A340">
        <v>4237</v>
      </c>
      <c r="B340" t="str">
        <f t="shared" si="54"/>
        <v>070211000</v>
      </c>
      <c r="C340" t="s">
        <v>1159</v>
      </c>
      <c r="D340">
        <v>90135</v>
      </c>
      <c r="E340" t="str">
        <f>"070211131"</f>
        <v>070211131</v>
      </c>
      <c r="F340" t="s">
        <v>1244</v>
      </c>
      <c r="G340" t="s">
        <v>42</v>
      </c>
      <c r="H340" t="s">
        <v>1160</v>
      </c>
      <c r="I340" t="s">
        <v>1161</v>
      </c>
      <c r="J340" t="s">
        <v>202</v>
      </c>
      <c r="K340" t="str">
        <f t="shared" si="55"/>
        <v>6234875183</v>
      </c>
      <c r="L340" t="str">
        <f>""</f>
        <v/>
      </c>
      <c r="M340" t="str">
        <f t="shared" si="56"/>
        <v>6234875190</v>
      </c>
      <c r="N340" t="str">
        <f>""</f>
        <v/>
      </c>
      <c r="O340" t="s">
        <v>1163</v>
      </c>
      <c r="P340" t="s">
        <v>1164</v>
      </c>
      <c r="R340" t="s">
        <v>1165</v>
      </c>
      <c r="S340" t="s">
        <v>36</v>
      </c>
      <c r="T340" t="str">
        <f t="shared" si="57"/>
        <v>85345</v>
      </c>
      <c r="U340" t="str">
        <f>""</f>
        <v/>
      </c>
      <c r="V340" t="s">
        <v>1245</v>
      </c>
      <c r="X340" t="s">
        <v>1165</v>
      </c>
      <c r="Y340" t="s">
        <v>36</v>
      </c>
      <c r="Z340" t="str">
        <f>"85383"</f>
        <v>85383</v>
      </c>
      <c r="AA340" t="str">
        <f>""</f>
        <v/>
      </c>
      <c r="AB340" t="s">
        <v>1166</v>
      </c>
    </row>
    <row r="341" spans="1:28" x14ac:dyDescent="0.25">
      <c r="A341">
        <v>4237</v>
      </c>
      <c r="B341" t="str">
        <f t="shared" si="54"/>
        <v>070211000</v>
      </c>
      <c r="C341" t="s">
        <v>1159</v>
      </c>
      <c r="D341">
        <v>90400</v>
      </c>
      <c r="E341" t="str">
        <f>"072119003"</f>
        <v>072119003</v>
      </c>
      <c r="F341" t="s">
        <v>1246</v>
      </c>
      <c r="G341" t="s">
        <v>42</v>
      </c>
      <c r="H341" t="s">
        <v>210</v>
      </c>
      <c r="I341" t="s">
        <v>1247</v>
      </c>
      <c r="J341" t="s">
        <v>520</v>
      </c>
      <c r="K341" t="str">
        <f>"6232091000"</f>
        <v>6232091000</v>
      </c>
      <c r="L341" t="str">
        <f>""</f>
        <v/>
      </c>
      <c r="M341" t="str">
        <f>"6232091001"</f>
        <v>6232091001</v>
      </c>
      <c r="N341" t="str">
        <f>""</f>
        <v/>
      </c>
      <c r="O341" t="s">
        <v>1248</v>
      </c>
      <c r="P341" t="s">
        <v>1249</v>
      </c>
      <c r="R341" t="s">
        <v>1165</v>
      </c>
      <c r="S341" t="s">
        <v>36</v>
      </c>
      <c r="T341" t="str">
        <f>"85381"</f>
        <v>85381</v>
      </c>
      <c r="U341" t="str">
        <f>""</f>
        <v/>
      </c>
      <c r="V341" t="s">
        <v>1249</v>
      </c>
      <c r="X341" t="s">
        <v>1165</v>
      </c>
      <c r="Y341" t="s">
        <v>36</v>
      </c>
      <c r="Z341" t="str">
        <f>"85381"</f>
        <v>85381</v>
      </c>
      <c r="AA341" t="str">
        <f>""</f>
        <v/>
      </c>
      <c r="AB341" t="s">
        <v>1166</v>
      </c>
    </row>
    <row r="342" spans="1:28" x14ac:dyDescent="0.25">
      <c r="A342">
        <v>4237</v>
      </c>
      <c r="B342" t="str">
        <f t="shared" si="54"/>
        <v>070211000</v>
      </c>
      <c r="C342" t="s">
        <v>1159</v>
      </c>
      <c r="D342">
        <v>91217</v>
      </c>
      <c r="E342" t="str">
        <f>"070211132"</f>
        <v>070211132</v>
      </c>
      <c r="F342" t="s">
        <v>1250</v>
      </c>
      <c r="G342" t="s">
        <v>42</v>
      </c>
      <c r="H342" t="s">
        <v>1160</v>
      </c>
      <c r="I342" t="s">
        <v>1161</v>
      </c>
      <c r="J342" t="s">
        <v>202</v>
      </c>
      <c r="K342" t="str">
        <f>"6234875183"</f>
        <v>6234875183</v>
      </c>
      <c r="L342" t="str">
        <f>""</f>
        <v/>
      </c>
      <c r="M342" t="str">
        <f>"6234875190"</f>
        <v>6234875190</v>
      </c>
      <c r="N342" t="str">
        <f>""</f>
        <v/>
      </c>
      <c r="O342" t="s">
        <v>1163</v>
      </c>
      <c r="P342" t="s">
        <v>1164</v>
      </c>
      <c r="R342" t="s">
        <v>1165</v>
      </c>
      <c r="S342" t="s">
        <v>36</v>
      </c>
      <c r="T342" t="str">
        <f>"85345"</f>
        <v>85345</v>
      </c>
      <c r="U342" t="str">
        <f>""</f>
        <v/>
      </c>
      <c r="V342" t="s">
        <v>1231</v>
      </c>
      <c r="X342" t="s">
        <v>1165</v>
      </c>
      <c r="Y342" t="s">
        <v>36</v>
      </c>
      <c r="Z342" t="str">
        <f>"85382"</f>
        <v>85382</v>
      </c>
      <c r="AA342" t="str">
        <f>""</f>
        <v/>
      </c>
      <c r="AB342" t="s">
        <v>1166</v>
      </c>
    </row>
    <row r="343" spans="1:28" x14ac:dyDescent="0.25">
      <c r="A343">
        <v>4237</v>
      </c>
      <c r="B343" t="str">
        <f t="shared" si="54"/>
        <v>070211000</v>
      </c>
      <c r="C343" t="s">
        <v>1159</v>
      </c>
      <c r="D343">
        <v>92638</v>
      </c>
      <c r="E343" t="str">
        <f>"070211133"</f>
        <v>070211133</v>
      </c>
      <c r="F343" t="s">
        <v>1251</v>
      </c>
      <c r="G343" t="s">
        <v>42</v>
      </c>
      <c r="H343" t="s">
        <v>1160</v>
      </c>
      <c r="I343" t="s">
        <v>1161</v>
      </c>
      <c r="J343" t="s">
        <v>202</v>
      </c>
      <c r="K343" t="str">
        <f>"6234875183"</f>
        <v>6234875183</v>
      </c>
      <c r="L343" t="str">
        <f>""</f>
        <v/>
      </c>
      <c r="M343" t="str">
        <f>"6234875190"</f>
        <v>6234875190</v>
      </c>
      <c r="N343" t="str">
        <f>""</f>
        <v/>
      </c>
      <c r="O343" t="s">
        <v>1163</v>
      </c>
      <c r="P343" t="s">
        <v>1252</v>
      </c>
      <c r="R343" t="s">
        <v>1165</v>
      </c>
      <c r="S343" t="s">
        <v>36</v>
      </c>
      <c r="T343" t="str">
        <f>"85345"</f>
        <v>85345</v>
      </c>
      <c r="U343" t="str">
        <f>""</f>
        <v/>
      </c>
      <c r="V343" t="s">
        <v>1253</v>
      </c>
      <c r="X343" t="s">
        <v>1165</v>
      </c>
      <c r="Y343" t="s">
        <v>36</v>
      </c>
      <c r="Z343" t="str">
        <f>"85382"</f>
        <v>85382</v>
      </c>
      <c r="AA343" t="str">
        <f>""</f>
        <v/>
      </c>
      <c r="AB343" t="s">
        <v>1166</v>
      </c>
    </row>
    <row r="344" spans="1:28" x14ac:dyDescent="0.25">
      <c r="A344">
        <v>4237</v>
      </c>
      <c r="B344" t="str">
        <f t="shared" si="54"/>
        <v>070211000</v>
      </c>
      <c r="C344" t="s">
        <v>1159</v>
      </c>
      <c r="D344">
        <v>92645</v>
      </c>
      <c r="E344" t="str">
        <f>"070211134"</f>
        <v>070211134</v>
      </c>
      <c r="F344" t="s">
        <v>1254</v>
      </c>
      <c r="G344" t="s">
        <v>42</v>
      </c>
      <c r="H344" t="s">
        <v>1255</v>
      </c>
      <c r="I344" t="s">
        <v>1256</v>
      </c>
      <c r="J344" t="s">
        <v>315</v>
      </c>
      <c r="K344" t="str">
        <f>"6234125054"</f>
        <v>6234125054</v>
      </c>
      <c r="L344" t="str">
        <f>""</f>
        <v/>
      </c>
      <c r="M344" t="str">
        <f>"6234875190"</f>
        <v>6234875190</v>
      </c>
      <c r="N344" t="str">
        <f>""</f>
        <v/>
      </c>
      <c r="O344" t="s">
        <v>1257</v>
      </c>
      <c r="P344" t="s">
        <v>1252</v>
      </c>
      <c r="R344" t="s">
        <v>1165</v>
      </c>
      <c r="S344" t="s">
        <v>36</v>
      </c>
      <c r="T344" t="str">
        <f>"85345"</f>
        <v>85345</v>
      </c>
      <c r="U344" t="str">
        <f>""</f>
        <v/>
      </c>
      <c r="V344" t="s">
        <v>1258</v>
      </c>
      <c r="X344" t="s">
        <v>1173</v>
      </c>
      <c r="Y344" t="s">
        <v>36</v>
      </c>
      <c r="Z344" t="str">
        <f>"85306"</f>
        <v>85306</v>
      </c>
      <c r="AA344" t="str">
        <f>""</f>
        <v/>
      </c>
      <c r="AB344" t="s">
        <v>1166</v>
      </c>
    </row>
    <row r="345" spans="1:28" x14ac:dyDescent="0.25">
      <c r="A345">
        <v>4238</v>
      </c>
      <c r="B345" t="str">
        <f>"070224000"</f>
        <v>070224000</v>
      </c>
      <c r="C345" t="s">
        <v>1259</v>
      </c>
      <c r="D345">
        <v>0</v>
      </c>
      <c r="E345" t="str">
        <f>""</f>
        <v/>
      </c>
      <c r="G345" t="s">
        <v>29</v>
      </c>
      <c r="H345" t="s">
        <v>1260</v>
      </c>
      <c r="I345" t="s">
        <v>1261</v>
      </c>
      <c r="J345" t="s">
        <v>493</v>
      </c>
      <c r="K345" t="str">
        <f>"9286832225"</f>
        <v>9286832225</v>
      </c>
      <c r="L345" t="str">
        <f>"128"</f>
        <v>128</v>
      </c>
      <c r="M345" t="str">
        <f>"9286832671"</f>
        <v>9286832671</v>
      </c>
      <c r="N345" t="str">
        <f>""</f>
        <v/>
      </c>
      <c r="O345" t="s">
        <v>1262</v>
      </c>
      <c r="P345" t="s">
        <v>1263</v>
      </c>
      <c r="R345" t="s">
        <v>1264</v>
      </c>
      <c r="S345" t="s">
        <v>36</v>
      </c>
      <c r="T345" t="str">
        <f>"85337"</f>
        <v>85337</v>
      </c>
      <c r="U345" t="str">
        <f>""</f>
        <v/>
      </c>
      <c r="V345" t="s">
        <v>1265</v>
      </c>
      <c r="X345" t="s">
        <v>1264</v>
      </c>
      <c r="Y345" t="s">
        <v>36</v>
      </c>
      <c r="Z345" t="str">
        <f>"85337"</f>
        <v>85337</v>
      </c>
      <c r="AA345" t="str">
        <f>""</f>
        <v/>
      </c>
      <c r="AB345" t="s">
        <v>124</v>
      </c>
    </row>
    <row r="346" spans="1:28" x14ac:dyDescent="0.25">
      <c r="A346">
        <v>4238</v>
      </c>
      <c r="B346" t="str">
        <f>"070224000"</f>
        <v>070224000</v>
      </c>
      <c r="C346" t="s">
        <v>1259</v>
      </c>
      <c r="D346">
        <v>5018</v>
      </c>
      <c r="E346" t="str">
        <f>"070224001"</f>
        <v>070224001</v>
      </c>
      <c r="F346" t="s">
        <v>1266</v>
      </c>
      <c r="G346" t="s">
        <v>42</v>
      </c>
      <c r="H346" t="s">
        <v>1260</v>
      </c>
      <c r="I346" t="s">
        <v>1261</v>
      </c>
      <c r="J346" t="s">
        <v>195</v>
      </c>
      <c r="K346" t="str">
        <f>"9286832225"</f>
        <v>9286832225</v>
      </c>
      <c r="L346" t="str">
        <f>"128"</f>
        <v>128</v>
      </c>
      <c r="M346" t="str">
        <f>"9286832671"</f>
        <v>9286832671</v>
      </c>
      <c r="N346" t="str">
        <f>""</f>
        <v/>
      </c>
      <c r="O346" t="s">
        <v>1262</v>
      </c>
      <c r="P346" t="s">
        <v>1267</v>
      </c>
      <c r="Q346" t="s">
        <v>1268</v>
      </c>
      <c r="R346" t="s">
        <v>1269</v>
      </c>
      <c r="S346" t="s">
        <v>36</v>
      </c>
      <c r="T346" t="str">
        <f>"85337"</f>
        <v>85337</v>
      </c>
      <c r="U346" t="str">
        <f>""</f>
        <v/>
      </c>
      <c r="V346" t="s">
        <v>1268</v>
      </c>
      <c r="W346" t="s">
        <v>1267</v>
      </c>
      <c r="X346" t="s">
        <v>1269</v>
      </c>
      <c r="Y346" t="s">
        <v>36</v>
      </c>
      <c r="Z346" t="str">
        <f>"85337"</f>
        <v>85337</v>
      </c>
      <c r="AA346" t="str">
        <f>""</f>
        <v/>
      </c>
      <c r="AB346" t="s">
        <v>124</v>
      </c>
    </row>
    <row r="347" spans="1:28" x14ac:dyDescent="0.25">
      <c r="A347">
        <v>4239</v>
      </c>
      <c r="B347" t="str">
        <f t="shared" ref="B347:B386" si="58">"070241000"</f>
        <v>070241000</v>
      </c>
      <c r="C347" t="s">
        <v>1270</v>
      </c>
      <c r="D347">
        <v>0</v>
      </c>
      <c r="E347" t="str">
        <f>""</f>
        <v/>
      </c>
      <c r="G347" t="s">
        <v>29</v>
      </c>
      <c r="H347" t="s">
        <v>1271</v>
      </c>
      <c r="I347" t="s">
        <v>1272</v>
      </c>
      <c r="J347" t="s">
        <v>32</v>
      </c>
      <c r="K347" t="str">
        <f>"4804973405"</f>
        <v>4804973405</v>
      </c>
      <c r="L347" t="str">
        <f>""</f>
        <v/>
      </c>
      <c r="M347" t="str">
        <f>"4805071358"</f>
        <v>4805071358</v>
      </c>
      <c r="N347" t="str">
        <f>""</f>
        <v/>
      </c>
      <c r="O347" t="s">
        <v>1273</v>
      </c>
      <c r="P347" t="s">
        <v>1274</v>
      </c>
      <c r="R347" t="s">
        <v>1275</v>
      </c>
      <c r="S347" t="s">
        <v>36</v>
      </c>
      <c r="T347" t="str">
        <f>"85296"</f>
        <v>85296</v>
      </c>
      <c r="U347" t="str">
        <f>""</f>
        <v/>
      </c>
      <c r="V347" t="s">
        <v>1274</v>
      </c>
      <c r="X347" t="s">
        <v>1275</v>
      </c>
      <c r="Y347" t="s">
        <v>36</v>
      </c>
      <c r="Z347" t="str">
        <f>"85296"</f>
        <v>85296</v>
      </c>
      <c r="AA347" t="str">
        <f>""</f>
        <v/>
      </c>
      <c r="AB347" t="s">
        <v>156</v>
      </c>
    </row>
    <row r="348" spans="1:28" x14ac:dyDescent="0.25">
      <c r="A348">
        <v>4239</v>
      </c>
      <c r="B348" t="str">
        <f t="shared" si="58"/>
        <v>070241000</v>
      </c>
      <c r="C348" t="s">
        <v>1270</v>
      </c>
      <c r="D348">
        <v>5021</v>
      </c>
      <c r="E348" t="str">
        <f>"070241121"</f>
        <v>070241121</v>
      </c>
      <c r="F348" t="s">
        <v>1276</v>
      </c>
      <c r="G348" t="s">
        <v>42</v>
      </c>
      <c r="H348" t="s">
        <v>1277</v>
      </c>
      <c r="I348" t="s">
        <v>1278</v>
      </c>
      <c r="J348" t="s">
        <v>926</v>
      </c>
      <c r="K348" t="str">
        <f>"4809261433"</f>
        <v>4809261433</v>
      </c>
      <c r="L348" t="str">
        <f>"2223"</f>
        <v>2223</v>
      </c>
      <c r="M348" t="str">
        <f>"4805071453"</f>
        <v>4805071453</v>
      </c>
      <c r="N348" t="str">
        <f>""</f>
        <v/>
      </c>
      <c r="O348" t="s">
        <v>1279</v>
      </c>
      <c r="P348" t="s">
        <v>1280</v>
      </c>
      <c r="R348" t="s">
        <v>1275</v>
      </c>
      <c r="S348" t="s">
        <v>36</v>
      </c>
      <c r="T348" t="str">
        <f>"85233"</f>
        <v>85233</v>
      </c>
      <c r="U348" t="str">
        <f>""</f>
        <v/>
      </c>
      <c r="V348" t="s">
        <v>1280</v>
      </c>
      <c r="X348" t="s">
        <v>1275</v>
      </c>
      <c r="Y348" t="s">
        <v>36</v>
      </c>
      <c r="Z348" t="str">
        <f>"85233"</f>
        <v>85233</v>
      </c>
      <c r="AA348" t="str">
        <f>""</f>
        <v/>
      </c>
      <c r="AB348" t="s">
        <v>156</v>
      </c>
    </row>
    <row r="349" spans="1:28" x14ac:dyDescent="0.25">
      <c r="A349">
        <v>4239</v>
      </c>
      <c r="B349" t="str">
        <f t="shared" si="58"/>
        <v>070241000</v>
      </c>
      <c r="C349" t="s">
        <v>1270</v>
      </c>
      <c r="D349">
        <v>5022</v>
      </c>
      <c r="E349" t="str">
        <f>"070241122"</f>
        <v>070241122</v>
      </c>
      <c r="F349" t="s">
        <v>1281</v>
      </c>
      <c r="G349" t="s">
        <v>42</v>
      </c>
      <c r="H349" t="s">
        <v>229</v>
      </c>
      <c r="I349" t="s">
        <v>1282</v>
      </c>
      <c r="J349" t="s">
        <v>926</v>
      </c>
      <c r="K349" t="str">
        <f>"4808131770"</f>
        <v>4808131770</v>
      </c>
      <c r="L349" t="str">
        <f>"241"</f>
        <v>241</v>
      </c>
      <c r="M349" t="str">
        <f>"4805071464"</f>
        <v>4805071464</v>
      </c>
      <c r="N349" t="str">
        <f>""</f>
        <v/>
      </c>
      <c r="O349" t="s">
        <v>1283</v>
      </c>
      <c r="P349" t="s">
        <v>1284</v>
      </c>
      <c r="R349" t="s">
        <v>1275</v>
      </c>
      <c r="S349" t="s">
        <v>36</v>
      </c>
      <c r="T349" t="str">
        <f>"85296"</f>
        <v>85296</v>
      </c>
      <c r="U349" t="str">
        <f>""</f>
        <v/>
      </c>
      <c r="V349" t="s">
        <v>1284</v>
      </c>
      <c r="X349" t="s">
        <v>1275</v>
      </c>
      <c r="Y349" t="s">
        <v>36</v>
      </c>
      <c r="Z349" t="str">
        <f>"85296"</f>
        <v>85296</v>
      </c>
      <c r="AA349" t="str">
        <f>""</f>
        <v/>
      </c>
      <c r="AB349" t="s">
        <v>156</v>
      </c>
    </row>
    <row r="350" spans="1:28" x14ac:dyDescent="0.25">
      <c r="A350">
        <v>4239</v>
      </c>
      <c r="B350" t="str">
        <f t="shared" si="58"/>
        <v>070241000</v>
      </c>
      <c r="C350" t="s">
        <v>1270</v>
      </c>
      <c r="D350">
        <v>5023</v>
      </c>
      <c r="E350" t="str">
        <f>"070241140"</f>
        <v>070241140</v>
      </c>
      <c r="F350" t="s">
        <v>1285</v>
      </c>
      <c r="G350" t="s">
        <v>42</v>
      </c>
      <c r="H350" t="s">
        <v>1286</v>
      </c>
      <c r="I350" t="s">
        <v>1287</v>
      </c>
      <c r="J350" t="s">
        <v>1288</v>
      </c>
      <c r="K350" t="str">
        <f>"4808928624"</f>
        <v>4808928624</v>
      </c>
      <c r="L350" t="str">
        <f>"3"</f>
        <v>3</v>
      </c>
      <c r="M350" t="str">
        <f>"4808137284"</f>
        <v>4808137284</v>
      </c>
      <c r="N350" t="str">
        <f>""</f>
        <v/>
      </c>
      <c r="O350" t="s">
        <v>1289</v>
      </c>
      <c r="P350" t="s">
        <v>1290</v>
      </c>
      <c r="R350" t="s">
        <v>1275</v>
      </c>
      <c r="S350" t="s">
        <v>36</v>
      </c>
      <c r="T350" t="str">
        <f>"85233"</f>
        <v>85233</v>
      </c>
      <c r="U350" t="str">
        <f>""</f>
        <v/>
      </c>
      <c r="V350" t="s">
        <v>1290</v>
      </c>
      <c r="X350" t="s">
        <v>1275</v>
      </c>
      <c r="Y350" t="s">
        <v>36</v>
      </c>
      <c r="Z350" t="str">
        <f>"85233"</f>
        <v>85233</v>
      </c>
      <c r="AA350" t="str">
        <f>""</f>
        <v/>
      </c>
      <c r="AB350" t="s">
        <v>156</v>
      </c>
    </row>
    <row r="351" spans="1:28" x14ac:dyDescent="0.25">
      <c r="A351">
        <v>4239</v>
      </c>
      <c r="B351" t="str">
        <f t="shared" si="58"/>
        <v>070241000</v>
      </c>
      <c r="C351" t="s">
        <v>1270</v>
      </c>
      <c r="D351">
        <v>5024</v>
      </c>
      <c r="E351" t="str">
        <f>"070241141"</f>
        <v>070241141</v>
      </c>
      <c r="F351" t="s">
        <v>1291</v>
      </c>
      <c r="G351" t="s">
        <v>42</v>
      </c>
      <c r="H351" t="s">
        <v>1292</v>
      </c>
      <c r="I351" t="s">
        <v>1293</v>
      </c>
      <c r="J351" t="s">
        <v>926</v>
      </c>
      <c r="K351" t="str">
        <f>"4808922801"</f>
        <v>4808922801</v>
      </c>
      <c r="L351" t="str">
        <f>"329"</f>
        <v>329</v>
      </c>
      <c r="M351" t="str">
        <f>"4809263673"</f>
        <v>4809263673</v>
      </c>
      <c r="N351" t="str">
        <f>""</f>
        <v/>
      </c>
      <c r="O351" t="s">
        <v>1294</v>
      </c>
      <c r="P351" t="s">
        <v>1295</v>
      </c>
      <c r="R351" t="s">
        <v>1275</v>
      </c>
      <c r="S351" t="s">
        <v>36</v>
      </c>
      <c r="T351" t="str">
        <f>"85234"</f>
        <v>85234</v>
      </c>
      <c r="U351" t="str">
        <f>""</f>
        <v/>
      </c>
      <c r="V351" t="s">
        <v>1295</v>
      </c>
      <c r="X351" t="s">
        <v>1275</v>
      </c>
      <c r="Y351" t="s">
        <v>36</v>
      </c>
      <c r="Z351" t="str">
        <f>"85234"</f>
        <v>85234</v>
      </c>
      <c r="AA351" t="str">
        <f>""</f>
        <v/>
      </c>
      <c r="AB351" t="s">
        <v>156</v>
      </c>
    </row>
    <row r="352" spans="1:28" x14ac:dyDescent="0.25">
      <c r="A352">
        <v>4239</v>
      </c>
      <c r="B352" t="str">
        <f t="shared" si="58"/>
        <v>070241000</v>
      </c>
      <c r="C352" t="s">
        <v>1270</v>
      </c>
      <c r="D352">
        <v>5025</v>
      </c>
      <c r="E352" t="str">
        <f>"070241142"</f>
        <v>070241142</v>
      </c>
      <c r="F352" t="s">
        <v>1296</v>
      </c>
      <c r="G352" t="s">
        <v>42</v>
      </c>
      <c r="H352" t="s">
        <v>1297</v>
      </c>
      <c r="I352" t="s">
        <v>1298</v>
      </c>
      <c r="J352" t="s">
        <v>926</v>
      </c>
      <c r="K352" t="str">
        <f>"4808922803"</f>
        <v>4808922803</v>
      </c>
      <c r="L352" t="str">
        <f>"4"</f>
        <v>4</v>
      </c>
      <c r="M352" t="str">
        <f>"4809263674"</f>
        <v>4809263674</v>
      </c>
      <c r="N352" t="str">
        <f>""</f>
        <v/>
      </c>
      <c r="O352" t="s">
        <v>1299</v>
      </c>
      <c r="P352" t="s">
        <v>1300</v>
      </c>
      <c r="R352" t="s">
        <v>1275</v>
      </c>
      <c r="S352" t="s">
        <v>36</v>
      </c>
      <c r="T352" t="str">
        <f>"85234"</f>
        <v>85234</v>
      </c>
      <c r="U352" t="str">
        <f>""</f>
        <v/>
      </c>
      <c r="V352" t="s">
        <v>1300</v>
      </c>
      <c r="X352" t="s">
        <v>1275</v>
      </c>
      <c r="Y352" t="s">
        <v>36</v>
      </c>
      <c r="Z352" t="str">
        <f>"85234"</f>
        <v>85234</v>
      </c>
      <c r="AA352" t="str">
        <f>""</f>
        <v/>
      </c>
      <c r="AB352" t="s">
        <v>156</v>
      </c>
    </row>
    <row r="353" spans="1:28" x14ac:dyDescent="0.25">
      <c r="A353">
        <v>4239</v>
      </c>
      <c r="B353" t="str">
        <f t="shared" si="58"/>
        <v>070241000</v>
      </c>
      <c r="C353" t="s">
        <v>1270</v>
      </c>
      <c r="D353">
        <v>5026</v>
      </c>
      <c r="E353" t="str">
        <f>"070241143"</f>
        <v>070241143</v>
      </c>
      <c r="F353" t="s">
        <v>1301</v>
      </c>
      <c r="G353" t="s">
        <v>42</v>
      </c>
      <c r="H353" t="s">
        <v>447</v>
      </c>
      <c r="I353" t="s">
        <v>1302</v>
      </c>
      <c r="J353" t="s">
        <v>926</v>
      </c>
      <c r="K353" t="str">
        <f>"4808922805"</f>
        <v>4808922805</v>
      </c>
      <c r="L353" t="str">
        <f>"4"</f>
        <v>4</v>
      </c>
      <c r="M353" t="str">
        <f>"4804976953"</f>
        <v>4804976953</v>
      </c>
      <c r="N353" t="str">
        <f>""</f>
        <v/>
      </c>
      <c r="O353" t="s">
        <v>1303</v>
      </c>
      <c r="P353" t="s">
        <v>1304</v>
      </c>
      <c r="R353" t="s">
        <v>1275</v>
      </c>
      <c r="S353" t="s">
        <v>36</v>
      </c>
      <c r="T353" t="str">
        <f>"85233"</f>
        <v>85233</v>
      </c>
      <c r="U353" t="str">
        <f>""</f>
        <v/>
      </c>
      <c r="V353" t="s">
        <v>1304</v>
      </c>
      <c r="X353" t="s">
        <v>1275</v>
      </c>
      <c r="Y353" t="s">
        <v>36</v>
      </c>
      <c r="Z353" t="str">
        <f>"85233"</f>
        <v>85233</v>
      </c>
      <c r="AA353" t="str">
        <f>""</f>
        <v/>
      </c>
      <c r="AB353" t="s">
        <v>156</v>
      </c>
    </row>
    <row r="354" spans="1:28" x14ac:dyDescent="0.25">
      <c r="A354">
        <v>4239</v>
      </c>
      <c r="B354" t="str">
        <f t="shared" si="58"/>
        <v>070241000</v>
      </c>
      <c r="C354" t="s">
        <v>1270</v>
      </c>
      <c r="D354">
        <v>5027</v>
      </c>
      <c r="E354" t="str">
        <f>"070241144"</f>
        <v>070241144</v>
      </c>
      <c r="F354" t="s">
        <v>1176</v>
      </c>
      <c r="G354" t="s">
        <v>42</v>
      </c>
      <c r="H354" t="s">
        <v>1305</v>
      </c>
      <c r="I354" t="s">
        <v>379</v>
      </c>
      <c r="J354" t="s">
        <v>926</v>
      </c>
      <c r="K354" t="str">
        <f>"4808922022"</f>
        <v>4808922022</v>
      </c>
      <c r="L354" t="str">
        <f>"3"</f>
        <v>3</v>
      </c>
      <c r="M354" t="str">
        <f>"4808139010"</f>
        <v>4808139010</v>
      </c>
      <c r="N354" t="str">
        <f>""</f>
        <v/>
      </c>
      <c r="O354" t="s">
        <v>1306</v>
      </c>
      <c r="P354" t="s">
        <v>1307</v>
      </c>
      <c r="R354" t="s">
        <v>1275</v>
      </c>
      <c r="S354" t="s">
        <v>36</v>
      </c>
      <c r="T354" t="str">
        <f>"85234"</f>
        <v>85234</v>
      </c>
      <c r="U354" t="str">
        <f>""</f>
        <v/>
      </c>
      <c r="V354" t="s">
        <v>1307</v>
      </c>
      <c r="X354" t="s">
        <v>1275</v>
      </c>
      <c r="Y354" t="s">
        <v>36</v>
      </c>
      <c r="Z354" t="str">
        <f>"85234"</f>
        <v>85234</v>
      </c>
      <c r="AA354" t="str">
        <f>""</f>
        <v/>
      </c>
      <c r="AB354" t="s">
        <v>156</v>
      </c>
    </row>
    <row r="355" spans="1:28" x14ac:dyDescent="0.25">
      <c r="A355">
        <v>4239</v>
      </c>
      <c r="B355" t="str">
        <f t="shared" si="58"/>
        <v>070241000</v>
      </c>
      <c r="C355" t="s">
        <v>1270</v>
      </c>
      <c r="D355">
        <v>5028</v>
      </c>
      <c r="E355" t="str">
        <f>"070241145"</f>
        <v>070241145</v>
      </c>
      <c r="F355" t="s">
        <v>1308</v>
      </c>
      <c r="G355" t="s">
        <v>42</v>
      </c>
      <c r="H355" t="s">
        <v>1309</v>
      </c>
      <c r="I355" t="s">
        <v>830</v>
      </c>
      <c r="J355" t="s">
        <v>926</v>
      </c>
      <c r="K355" t="str">
        <f>"4804970742"</f>
        <v>4804970742</v>
      </c>
      <c r="L355" t="str">
        <f>"308"</f>
        <v>308</v>
      </c>
      <c r="M355" t="str">
        <f>"4808136809"</f>
        <v>4808136809</v>
      </c>
      <c r="N355" t="str">
        <f>""</f>
        <v/>
      </c>
      <c r="O355" t="s">
        <v>1310</v>
      </c>
      <c r="P355" t="s">
        <v>1311</v>
      </c>
      <c r="R355" t="s">
        <v>1275</v>
      </c>
      <c r="S355" t="s">
        <v>36</v>
      </c>
      <c r="T355" t="str">
        <f>"85233"</f>
        <v>85233</v>
      </c>
      <c r="U355" t="str">
        <f>""</f>
        <v/>
      </c>
      <c r="V355" t="s">
        <v>1311</v>
      </c>
      <c r="X355" t="s">
        <v>1275</v>
      </c>
      <c r="Y355" t="s">
        <v>36</v>
      </c>
      <c r="Z355" t="str">
        <f>"85233"</f>
        <v>85233</v>
      </c>
      <c r="AA355" t="str">
        <f>""</f>
        <v/>
      </c>
      <c r="AB355" t="s">
        <v>156</v>
      </c>
    </row>
    <row r="356" spans="1:28" x14ac:dyDescent="0.25">
      <c r="A356">
        <v>4239</v>
      </c>
      <c r="B356" t="str">
        <f t="shared" si="58"/>
        <v>070241000</v>
      </c>
      <c r="C356" t="s">
        <v>1270</v>
      </c>
      <c r="D356">
        <v>5029</v>
      </c>
      <c r="E356" t="str">
        <f>"070241146"</f>
        <v>070241146</v>
      </c>
      <c r="F356" t="s">
        <v>1312</v>
      </c>
      <c r="G356" t="s">
        <v>42</v>
      </c>
      <c r="H356" t="s">
        <v>1313</v>
      </c>
      <c r="I356" t="s">
        <v>1314</v>
      </c>
      <c r="J356" t="s">
        <v>926</v>
      </c>
      <c r="K356" t="str">
        <f>"4804974032"</f>
        <v>4804974032</v>
      </c>
      <c r="L356" t="str">
        <f>"3"</f>
        <v>3</v>
      </c>
      <c r="M356" t="str">
        <f>"4808136997"</f>
        <v>4808136997</v>
      </c>
      <c r="N356" t="str">
        <f>""</f>
        <v/>
      </c>
      <c r="O356" t="s">
        <v>1315</v>
      </c>
      <c r="P356" t="s">
        <v>1316</v>
      </c>
      <c r="R356" t="s">
        <v>1275</v>
      </c>
      <c r="S356" t="s">
        <v>36</v>
      </c>
      <c r="T356" t="str">
        <f>"85234"</f>
        <v>85234</v>
      </c>
      <c r="U356" t="str">
        <f>""</f>
        <v/>
      </c>
      <c r="V356" t="s">
        <v>1316</v>
      </c>
      <c r="X356" t="s">
        <v>1275</v>
      </c>
      <c r="Y356" t="s">
        <v>36</v>
      </c>
      <c r="Z356" t="str">
        <f>"85234"</f>
        <v>85234</v>
      </c>
      <c r="AA356" t="str">
        <f>""</f>
        <v/>
      </c>
      <c r="AB356" t="s">
        <v>156</v>
      </c>
    </row>
    <row r="357" spans="1:28" x14ac:dyDescent="0.25">
      <c r="A357">
        <v>4239</v>
      </c>
      <c r="B357" t="str">
        <f t="shared" si="58"/>
        <v>070241000</v>
      </c>
      <c r="C357" t="s">
        <v>1270</v>
      </c>
      <c r="D357">
        <v>5030</v>
      </c>
      <c r="E357" t="str">
        <f>"070241147"</f>
        <v>070241147</v>
      </c>
      <c r="F357" t="s">
        <v>1317</v>
      </c>
      <c r="G357" t="s">
        <v>42</v>
      </c>
      <c r="H357" t="s">
        <v>1318</v>
      </c>
      <c r="I357" t="s">
        <v>1319</v>
      </c>
      <c r="J357" t="s">
        <v>926</v>
      </c>
      <c r="K357" t="str">
        <f>"4809263816"</f>
        <v>4809263816</v>
      </c>
      <c r="L357" t="str">
        <f>"3"</f>
        <v>3</v>
      </c>
      <c r="M357" t="str">
        <f>"4808138789"</f>
        <v>4808138789</v>
      </c>
      <c r="N357" t="str">
        <f>""</f>
        <v/>
      </c>
      <c r="O357" t="s">
        <v>1320</v>
      </c>
      <c r="P357" t="s">
        <v>1321</v>
      </c>
      <c r="R357" t="s">
        <v>1275</v>
      </c>
      <c r="S357" t="s">
        <v>36</v>
      </c>
      <c r="T357" t="str">
        <f>"85234"</f>
        <v>85234</v>
      </c>
      <c r="U357" t="str">
        <f>""</f>
        <v/>
      </c>
      <c r="V357" t="s">
        <v>1321</v>
      </c>
      <c r="X357" t="s">
        <v>1275</v>
      </c>
      <c r="Y357" t="s">
        <v>36</v>
      </c>
      <c r="Z357" t="str">
        <f>"85234"</f>
        <v>85234</v>
      </c>
      <c r="AA357" t="str">
        <f>""</f>
        <v/>
      </c>
      <c r="AB357" t="s">
        <v>156</v>
      </c>
    </row>
    <row r="358" spans="1:28" x14ac:dyDescent="0.25">
      <c r="A358">
        <v>4239</v>
      </c>
      <c r="B358" t="str">
        <f t="shared" si="58"/>
        <v>070241000</v>
      </c>
      <c r="C358" t="s">
        <v>1270</v>
      </c>
      <c r="D358">
        <v>5031</v>
      </c>
      <c r="E358" t="str">
        <f>"070241148"</f>
        <v>070241148</v>
      </c>
      <c r="F358" t="s">
        <v>1322</v>
      </c>
      <c r="G358" t="s">
        <v>42</v>
      </c>
      <c r="H358" t="s">
        <v>1323</v>
      </c>
      <c r="I358" t="s">
        <v>1324</v>
      </c>
      <c r="J358" t="s">
        <v>926</v>
      </c>
      <c r="K358" t="str">
        <f>"4809266301"</f>
        <v>4809266301</v>
      </c>
      <c r="L358" t="str">
        <f>"4"</f>
        <v>4</v>
      </c>
      <c r="M358" t="str">
        <f>"4808139011"</f>
        <v>4808139011</v>
      </c>
      <c r="N358" t="str">
        <f>""</f>
        <v/>
      </c>
      <c r="O358" t="s">
        <v>1325</v>
      </c>
      <c r="P358" t="s">
        <v>1326</v>
      </c>
      <c r="R358" t="s">
        <v>1275</v>
      </c>
      <c r="S358" t="s">
        <v>36</v>
      </c>
      <c r="T358" t="str">
        <f>"85234"</f>
        <v>85234</v>
      </c>
      <c r="U358" t="str">
        <f>""</f>
        <v/>
      </c>
      <c r="V358" t="s">
        <v>1326</v>
      </c>
      <c r="X358" t="s">
        <v>1275</v>
      </c>
      <c r="Y358" t="s">
        <v>36</v>
      </c>
      <c r="Z358" t="str">
        <f>"85234"</f>
        <v>85234</v>
      </c>
      <c r="AA358" t="str">
        <f>""</f>
        <v/>
      </c>
      <c r="AB358" t="s">
        <v>156</v>
      </c>
    </row>
    <row r="359" spans="1:28" x14ac:dyDescent="0.25">
      <c r="A359">
        <v>4239</v>
      </c>
      <c r="B359" t="str">
        <f t="shared" si="58"/>
        <v>070241000</v>
      </c>
      <c r="C359" t="s">
        <v>1270</v>
      </c>
      <c r="D359">
        <v>5032</v>
      </c>
      <c r="E359" t="str">
        <f>"070241149"</f>
        <v>070241149</v>
      </c>
      <c r="F359" t="s">
        <v>1327</v>
      </c>
      <c r="G359" t="s">
        <v>42</v>
      </c>
      <c r="H359" t="s">
        <v>851</v>
      </c>
      <c r="I359" t="s">
        <v>1328</v>
      </c>
      <c r="J359" t="s">
        <v>926</v>
      </c>
      <c r="K359" t="str">
        <f>"4808131240"</f>
        <v>4808131240</v>
      </c>
      <c r="L359" t="str">
        <f>"4"</f>
        <v>4</v>
      </c>
      <c r="M359" t="str">
        <f>"4808137387"</f>
        <v>4808137387</v>
      </c>
      <c r="N359" t="str">
        <f>""</f>
        <v/>
      </c>
      <c r="O359" t="s">
        <v>1329</v>
      </c>
      <c r="P359" t="s">
        <v>1330</v>
      </c>
      <c r="R359" t="s">
        <v>1275</v>
      </c>
      <c r="S359" t="s">
        <v>36</v>
      </c>
      <c r="T359" t="str">
        <f>"85296"</f>
        <v>85296</v>
      </c>
      <c r="U359" t="str">
        <f>""</f>
        <v/>
      </c>
      <c r="V359" t="s">
        <v>1330</v>
      </c>
      <c r="X359" t="s">
        <v>1275</v>
      </c>
      <c r="Y359" t="s">
        <v>36</v>
      </c>
      <c r="Z359" t="str">
        <f>"85296"</f>
        <v>85296</v>
      </c>
      <c r="AA359" t="str">
        <f>""</f>
        <v/>
      </c>
      <c r="AB359" t="s">
        <v>156</v>
      </c>
    </row>
    <row r="360" spans="1:28" x14ac:dyDescent="0.25">
      <c r="A360">
        <v>4239</v>
      </c>
      <c r="B360" t="str">
        <f t="shared" si="58"/>
        <v>070241000</v>
      </c>
      <c r="C360" t="s">
        <v>1270</v>
      </c>
      <c r="D360">
        <v>5033</v>
      </c>
      <c r="E360" t="str">
        <f>"070241150"</f>
        <v>070241150</v>
      </c>
      <c r="F360" t="s">
        <v>1331</v>
      </c>
      <c r="G360" t="s">
        <v>42</v>
      </c>
      <c r="H360" t="s">
        <v>1332</v>
      </c>
      <c r="I360" t="s">
        <v>1333</v>
      </c>
      <c r="J360" t="s">
        <v>926</v>
      </c>
      <c r="K360" t="str">
        <f>"4805457060"</f>
        <v>4805457060</v>
      </c>
      <c r="L360" t="str">
        <f>"3"</f>
        <v>3</v>
      </c>
      <c r="M360" t="str">
        <f>"4804973450"</f>
        <v>4804973450</v>
      </c>
      <c r="N360" t="str">
        <f>""</f>
        <v/>
      </c>
      <c r="O360" t="s">
        <v>1334</v>
      </c>
      <c r="P360" t="s">
        <v>1335</v>
      </c>
      <c r="R360" t="s">
        <v>979</v>
      </c>
      <c r="S360" t="s">
        <v>36</v>
      </c>
      <c r="T360" t="str">
        <f>"85204"</f>
        <v>85204</v>
      </c>
      <c r="U360" t="str">
        <f>""</f>
        <v/>
      </c>
      <c r="V360" t="s">
        <v>1335</v>
      </c>
      <c r="X360" t="s">
        <v>979</v>
      </c>
      <c r="Y360" t="s">
        <v>36</v>
      </c>
      <c r="Z360" t="str">
        <f>"85204"</f>
        <v>85204</v>
      </c>
      <c r="AA360" t="str">
        <f>""</f>
        <v/>
      </c>
      <c r="AB360" t="s">
        <v>156</v>
      </c>
    </row>
    <row r="361" spans="1:28" x14ac:dyDescent="0.25">
      <c r="A361">
        <v>4239</v>
      </c>
      <c r="B361" t="str">
        <f t="shared" si="58"/>
        <v>070241000</v>
      </c>
      <c r="C361" t="s">
        <v>1270</v>
      </c>
      <c r="D361">
        <v>5034</v>
      </c>
      <c r="E361" t="str">
        <f>"070241151"</f>
        <v>070241151</v>
      </c>
      <c r="F361" t="s">
        <v>1336</v>
      </c>
      <c r="G361" t="s">
        <v>42</v>
      </c>
      <c r="H361" t="s">
        <v>367</v>
      </c>
      <c r="I361" t="s">
        <v>1337</v>
      </c>
      <c r="J361" t="s">
        <v>926</v>
      </c>
      <c r="K361" t="str">
        <f>"4808927810"</f>
        <v>4808927810</v>
      </c>
      <c r="L361" t="str">
        <f>""</f>
        <v/>
      </c>
      <c r="M361" t="str">
        <f>"4805071538"</f>
        <v>4805071538</v>
      </c>
      <c r="N361" t="str">
        <f>""</f>
        <v/>
      </c>
      <c r="O361" t="s">
        <v>1338</v>
      </c>
      <c r="P361" t="s">
        <v>1339</v>
      </c>
      <c r="R361" t="s">
        <v>1275</v>
      </c>
      <c r="S361" t="s">
        <v>36</v>
      </c>
      <c r="T361" t="str">
        <f>"85233"</f>
        <v>85233</v>
      </c>
      <c r="U361" t="str">
        <f>""</f>
        <v/>
      </c>
      <c r="V361" t="s">
        <v>1339</v>
      </c>
      <c r="X361" t="s">
        <v>1275</v>
      </c>
      <c r="Y361" t="s">
        <v>36</v>
      </c>
      <c r="Z361" t="str">
        <f>"85233"</f>
        <v>85233</v>
      </c>
      <c r="AA361" t="str">
        <f>""</f>
        <v/>
      </c>
      <c r="AB361" t="s">
        <v>156</v>
      </c>
    </row>
    <row r="362" spans="1:28" x14ac:dyDescent="0.25">
      <c r="A362">
        <v>4239</v>
      </c>
      <c r="B362" t="str">
        <f t="shared" si="58"/>
        <v>070241000</v>
      </c>
      <c r="C362" t="s">
        <v>1270</v>
      </c>
      <c r="D362">
        <v>5035</v>
      </c>
      <c r="E362" t="str">
        <f>"070241152"</f>
        <v>070241152</v>
      </c>
      <c r="F362" t="s">
        <v>1340</v>
      </c>
      <c r="G362" t="s">
        <v>42</v>
      </c>
      <c r="H362" t="s">
        <v>1341</v>
      </c>
      <c r="I362" t="s">
        <v>1342</v>
      </c>
      <c r="J362" t="s">
        <v>926</v>
      </c>
      <c r="K362" t="str">
        <f>"4808541545"</f>
        <v>4808541545</v>
      </c>
      <c r="L362" t="str">
        <f>"309"</f>
        <v>309</v>
      </c>
      <c r="M362" t="str">
        <f>"4808541641"</f>
        <v>4808541641</v>
      </c>
      <c r="N362" t="str">
        <f>""</f>
        <v/>
      </c>
      <c r="O362" t="s">
        <v>1343</v>
      </c>
      <c r="P362" t="s">
        <v>1344</v>
      </c>
      <c r="R362" t="s">
        <v>1275</v>
      </c>
      <c r="S362" t="s">
        <v>36</v>
      </c>
      <c r="T362" t="str">
        <f>"85234"</f>
        <v>85234</v>
      </c>
      <c r="U362" t="str">
        <f>""</f>
        <v/>
      </c>
      <c r="V362" t="s">
        <v>1344</v>
      </c>
      <c r="X362" t="s">
        <v>1275</v>
      </c>
      <c r="Y362" t="s">
        <v>36</v>
      </c>
      <c r="Z362" t="str">
        <f>"85234"</f>
        <v>85234</v>
      </c>
      <c r="AA362" t="str">
        <f>""</f>
        <v/>
      </c>
      <c r="AB362" t="s">
        <v>156</v>
      </c>
    </row>
    <row r="363" spans="1:28" x14ac:dyDescent="0.25">
      <c r="A363">
        <v>4239</v>
      </c>
      <c r="B363" t="str">
        <f t="shared" si="58"/>
        <v>070241000</v>
      </c>
      <c r="C363" t="s">
        <v>1270</v>
      </c>
      <c r="D363">
        <v>5036</v>
      </c>
      <c r="E363" t="str">
        <f>"070241154"</f>
        <v>070241154</v>
      </c>
      <c r="F363" t="s">
        <v>1345</v>
      </c>
      <c r="G363" t="s">
        <v>42</v>
      </c>
      <c r="H363" t="s">
        <v>1346</v>
      </c>
      <c r="I363" t="s">
        <v>1347</v>
      </c>
      <c r="J363" t="s">
        <v>926</v>
      </c>
      <c r="K363" t="str">
        <f>"4804979343"</f>
        <v>4804979343</v>
      </c>
      <c r="L363" t="str">
        <f>"4"</f>
        <v>4</v>
      </c>
      <c r="M363" t="str">
        <f>"4804979574"</f>
        <v>4804979574</v>
      </c>
      <c r="N363" t="str">
        <f>""</f>
        <v/>
      </c>
      <c r="O363" t="s">
        <v>1348</v>
      </c>
      <c r="P363" t="s">
        <v>1349</v>
      </c>
      <c r="R363" t="s">
        <v>1275</v>
      </c>
      <c r="S363" t="s">
        <v>36</v>
      </c>
      <c r="T363" t="str">
        <f>"85234"</f>
        <v>85234</v>
      </c>
      <c r="U363" t="str">
        <f>""</f>
        <v/>
      </c>
      <c r="V363" t="s">
        <v>1349</v>
      </c>
      <c r="X363" t="s">
        <v>1275</v>
      </c>
      <c r="Y363" t="s">
        <v>36</v>
      </c>
      <c r="Z363" t="str">
        <f>"85234"</f>
        <v>85234</v>
      </c>
      <c r="AA363" t="str">
        <f>""</f>
        <v/>
      </c>
      <c r="AB363" t="s">
        <v>156</v>
      </c>
    </row>
    <row r="364" spans="1:28" x14ac:dyDescent="0.25">
      <c r="A364">
        <v>4239</v>
      </c>
      <c r="B364" t="str">
        <f t="shared" si="58"/>
        <v>070241000</v>
      </c>
      <c r="C364" t="s">
        <v>1270</v>
      </c>
      <c r="D364">
        <v>5037</v>
      </c>
      <c r="E364" t="str">
        <f>"070241155"</f>
        <v>070241155</v>
      </c>
      <c r="F364" t="s">
        <v>1350</v>
      </c>
      <c r="G364" t="s">
        <v>42</v>
      </c>
      <c r="H364" t="s">
        <v>260</v>
      </c>
      <c r="I364" t="s">
        <v>1351</v>
      </c>
      <c r="J364" t="s">
        <v>926</v>
      </c>
      <c r="K364" t="str">
        <f>"4806416413"</f>
        <v>4806416413</v>
      </c>
      <c r="L364" t="str">
        <f>"3"</f>
        <v>3</v>
      </c>
      <c r="M364" t="str">
        <f>"4808548871"</f>
        <v>4808548871</v>
      </c>
      <c r="N364" t="str">
        <f>""</f>
        <v/>
      </c>
      <c r="O364" t="s">
        <v>1352</v>
      </c>
      <c r="P364" t="s">
        <v>1353</v>
      </c>
      <c r="R364" t="s">
        <v>979</v>
      </c>
      <c r="S364" t="s">
        <v>36</v>
      </c>
      <c r="T364" t="str">
        <f>"85209"</f>
        <v>85209</v>
      </c>
      <c r="U364" t="str">
        <f>""</f>
        <v/>
      </c>
      <c r="V364" t="s">
        <v>1353</v>
      </c>
      <c r="X364" t="s">
        <v>979</v>
      </c>
      <c r="Y364" t="s">
        <v>36</v>
      </c>
      <c r="Z364" t="str">
        <f>"85209"</f>
        <v>85209</v>
      </c>
      <c r="AA364" t="str">
        <f>""</f>
        <v/>
      </c>
      <c r="AB364" t="s">
        <v>156</v>
      </c>
    </row>
    <row r="365" spans="1:28" x14ac:dyDescent="0.25">
      <c r="A365">
        <v>4239</v>
      </c>
      <c r="B365" t="str">
        <f t="shared" si="58"/>
        <v>070241000</v>
      </c>
      <c r="C365" t="s">
        <v>1270</v>
      </c>
      <c r="D365">
        <v>5038</v>
      </c>
      <c r="E365" t="str">
        <f>"070241156"</f>
        <v>070241156</v>
      </c>
      <c r="F365" t="s">
        <v>1354</v>
      </c>
      <c r="G365" t="s">
        <v>42</v>
      </c>
      <c r="H365" t="s">
        <v>1355</v>
      </c>
      <c r="I365" t="s">
        <v>1356</v>
      </c>
      <c r="J365" t="s">
        <v>1288</v>
      </c>
      <c r="K365" t="str">
        <f>"4805071624"</f>
        <v>4805071624</v>
      </c>
      <c r="L365" t="str">
        <f>"146"</f>
        <v>146</v>
      </c>
      <c r="M365" t="str">
        <f>"4805071633"</f>
        <v>4805071633</v>
      </c>
      <c r="N365" t="str">
        <f>""</f>
        <v/>
      </c>
      <c r="O365" t="s">
        <v>1357</v>
      </c>
      <c r="P365" t="s">
        <v>1358</v>
      </c>
      <c r="R365" t="s">
        <v>1275</v>
      </c>
      <c r="S365" t="s">
        <v>36</v>
      </c>
      <c r="T365" t="str">
        <f>"85296"</f>
        <v>85296</v>
      </c>
      <c r="U365" t="str">
        <f>""</f>
        <v/>
      </c>
      <c r="V365" t="s">
        <v>1358</v>
      </c>
      <c r="X365" t="s">
        <v>1275</v>
      </c>
      <c r="Y365" t="s">
        <v>36</v>
      </c>
      <c r="Z365" t="str">
        <f>"85296"</f>
        <v>85296</v>
      </c>
      <c r="AA365" t="str">
        <f>""</f>
        <v/>
      </c>
      <c r="AB365" t="s">
        <v>156</v>
      </c>
    </row>
    <row r="366" spans="1:28" x14ac:dyDescent="0.25">
      <c r="A366">
        <v>4239</v>
      </c>
      <c r="B366" t="str">
        <f t="shared" si="58"/>
        <v>070241000</v>
      </c>
      <c r="C366" t="s">
        <v>1270</v>
      </c>
      <c r="D366">
        <v>5039</v>
      </c>
      <c r="E366" t="str">
        <f>"070241210"</f>
        <v>070241210</v>
      </c>
      <c r="F366" t="s">
        <v>1359</v>
      </c>
      <c r="G366" t="s">
        <v>42</v>
      </c>
      <c r="H366" t="s">
        <v>1360</v>
      </c>
      <c r="I366" t="s">
        <v>1361</v>
      </c>
      <c r="J366" t="s">
        <v>926</v>
      </c>
      <c r="K366" t="str">
        <f>"4804970177"</f>
        <v>4804970177</v>
      </c>
      <c r="L366" t="str">
        <f>"131"</f>
        <v>131</v>
      </c>
      <c r="M366" t="str">
        <f>"4804971390"</f>
        <v>4804971390</v>
      </c>
      <c r="N366" t="str">
        <f>""</f>
        <v/>
      </c>
      <c r="O366" t="s">
        <v>1362</v>
      </c>
      <c r="P366" t="s">
        <v>1363</v>
      </c>
      <c r="R366" t="s">
        <v>1275</v>
      </c>
      <c r="S366" t="s">
        <v>36</v>
      </c>
      <c r="T366" t="str">
        <f>"85234"</f>
        <v>85234</v>
      </c>
      <c r="U366" t="str">
        <f>""</f>
        <v/>
      </c>
      <c r="V366" t="s">
        <v>1363</v>
      </c>
      <c r="X366" t="s">
        <v>1275</v>
      </c>
      <c r="Y366" t="s">
        <v>36</v>
      </c>
      <c r="Z366" t="str">
        <f>"85234"</f>
        <v>85234</v>
      </c>
      <c r="AA366" t="str">
        <f>""</f>
        <v/>
      </c>
      <c r="AB366" t="s">
        <v>156</v>
      </c>
    </row>
    <row r="367" spans="1:28" x14ac:dyDescent="0.25">
      <c r="A367">
        <v>4239</v>
      </c>
      <c r="B367" t="str">
        <f t="shared" si="58"/>
        <v>070241000</v>
      </c>
      <c r="C367" t="s">
        <v>1270</v>
      </c>
      <c r="D367">
        <v>5040</v>
      </c>
      <c r="E367" t="str">
        <f>"070241211"</f>
        <v>070241211</v>
      </c>
      <c r="F367" t="s">
        <v>1364</v>
      </c>
      <c r="G367" t="s">
        <v>42</v>
      </c>
      <c r="H367" t="s">
        <v>1365</v>
      </c>
      <c r="I367" t="s">
        <v>1366</v>
      </c>
      <c r="J367" t="s">
        <v>926</v>
      </c>
      <c r="K367" t="str">
        <f>"4808130051"</f>
        <v>4808130051</v>
      </c>
      <c r="L367" t="str">
        <f>"7"</f>
        <v>7</v>
      </c>
      <c r="M367" t="str">
        <f>"4805071410"</f>
        <v>4805071410</v>
      </c>
      <c r="N367" t="str">
        <f>""</f>
        <v/>
      </c>
      <c r="O367" t="s">
        <v>1367</v>
      </c>
      <c r="P367" t="s">
        <v>1368</v>
      </c>
      <c r="R367" t="s">
        <v>1275</v>
      </c>
      <c r="S367" t="s">
        <v>36</v>
      </c>
      <c r="T367" t="str">
        <f>"85234"</f>
        <v>85234</v>
      </c>
      <c r="U367" t="str">
        <f>""</f>
        <v/>
      </c>
      <c r="V367" t="s">
        <v>1368</v>
      </c>
      <c r="X367" t="s">
        <v>1275</v>
      </c>
      <c r="Y367" t="s">
        <v>36</v>
      </c>
      <c r="Z367" t="str">
        <f>"85234"</f>
        <v>85234</v>
      </c>
      <c r="AA367" t="str">
        <f>""</f>
        <v/>
      </c>
      <c r="AB367" t="s">
        <v>156</v>
      </c>
    </row>
    <row r="368" spans="1:28" x14ac:dyDescent="0.25">
      <c r="A368">
        <v>4239</v>
      </c>
      <c r="B368" t="str">
        <f t="shared" si="58"/>
        <v>070241000</v>
      </c>
      <c r="C368" t="s">
        <v>1270</v>
      </c>
      <c r="D368">
        <v>6006</v>
      </c>
      <c r="E368" t="str">
        <f>"070241123"</f>
        <v>070241123</v>
      </c>
      <c r="F368" t="s">
        <v>1369</v>
      </c>
      <c r="G368" t="s">
        <v>42</v>
      </c>
      <c r="H368" t="s">
        <v>1370</v>
      </c>
      <c r="I368" t="s">
        <v>1371</v>
      </c>
      <c r="J368" t="s">
        <v>926</v>
      </c>
      <c r="K368" t="str">
        <f>"4806324739"</f>
        <v>4806324739</v>
      </c>
      <c r="L368" t="str">
        <f>"5"</f>
        <v>5</v>
      </c>
      <c r="M368" t="str">
        <f>"4806324727"</f>
        <v>4806324727</v>
      </c>
      <c r="N368" t="str">
        <f>""</f>
        <v/>
      </c>
      <c r="O368" t="s">
        <v>1372</v>
      </c>
      <c r="P368" t="s">
        <v>1373</v>
      </c>
      <c r="R368" t="s">
        <v>979</v>
      </c>
      <c r="S368" t="s">
        <v>36</v>
      </c>
      <c r="T368" t="str">
        <f>"85212"</f>
        <v>85212</v>
      </c>
      <c r="U368" t="str">
        <f>""</f>
        <v/>
      </c>
      <c r="V368" t="s">
        <v>1373</v>
      </c>
      <c r="X368" t="s">
        <v>979</v>
      </c>
      <c r="Y368" t="s">
        <v>36</v>
      </c>
      <c r="Z368" t="str">
        <f>"85212"</f>
        <v>85212</v>
      </c>
      <c r="AA368" t="str">
        <f>""</f>
        <v/>
      </c>
      <c r="AB368" t="s">
        <v>156</v>
      </c>
    </row>
    <row r="369" spans="1:28" x14ac:dyDescent="0.25">
      <c r="A369">
        <v>4239</v>
      </c>
      <c r="B369" t="str">
        <f t="shared" si="58"/>
        <v>070241000</v>
      </c>
      <c r="C369" t="s">
        <v>1270</v>
      </c>
      <c r="D369">
        <v>6007</v>
      </c>
      <c r="E369" t="str">
        <f>"070241212"</f>
        <v>070241212</v>
      </c>
      <c r="F369" t="s">
        <v>1374</v>
      </c>
      <c r="G369" t="s">
        <v>42</v>
      </c>
      <c r="H369" t="s">
        <v>1375</v>
      </c>
      <c r="I369" t="s">
        <v>1376</v>
      </c>
      <c r="J369" t="s">
        <v>926</v>
      </c>
      <c r="K369" t="str">
        <f>"4806324750"</f>
        <v>4806324750</v>
      </c>
      <c r="L369" t="str">
        <f>"3310"</f>
        <v>3310</v>
      </c>
      <c r="M369" t="str">
        <f>"4806324767"</f>
        <v>4806324767</v>
      </c>
      <c r="N369" t="str">
        <f>""</f>
        <v/>
      </c>
      <c r="O369" t="s">
        <v>1377</v>
      </c>
      <c r="P369" t="s">
        <v>1378</v>
      </c>
      <c r="R369" t="s">
        <v>1275</v>
      </c>
      <c r="S369" t="s">
        <v>36</v>
      </c>
      <c r="T369" t="str">
        <f>"85233"</f>
        <v>85233</v>
      </c>
      <c r="U369" t="str">
        <f>""</f>
        <v/>
      </c>
      <c r="V369" t="s">
        <v>1378</v>
      </c>
      <c r="X369" t="s">
        <v>1275</v>
      </c>
      <c r="Y369" t="s">
        <v>36</v>
      </c>
      <c r="Z369" t="str">
        <f>"85233"</f>
        <v>85233</v>
      </c>
      <c r="AA369" t="str">
        <f>""</f>
        <v/>
      </c>
      <c r="AB369" t="s">
        <v>156</v>
      </c>
    </row>
    <row r="370" spans="1:28" x14ac:dyDescent="0.25">
      <c r="A370">
        <v>4239</v>
      </c>
      <c r="B370" t="str">
        <f t="shared" si="58"/>
        <v>070241000</v>
      </c>
      <c r="C370" t="s">
        <v>1270</v>
      </c>
      <c r="D370">
        <v>78918</v>
      </c>
      <c r="E370" t="str">
        <f>"070241157"</f>
        <v>070241157</v>
      </c>
      <c r="F370" t="s">
        <v>1379</v>
      </c>
      <c r="G370" t="s">
        <v>42</v>
      </c>
      <c r="H370" t="s">
        <v>1380</v>
      </c>
      <c r="I370" t="s">
        <v>1381</v>
      </c>
      <c r="J370" t="s">
        <v>926</v>
      </c>
      <c r="K370" t="str">
        <f>"4806324785"</f>
        <v>4806324785</v>
      </c>
      <c r="L370" t="str">
        <f>"146"</f>
        <v>146</v>
      </c>
      <c r="M370" t="str">
        <f>"4806324794"</f>
        <v>4806324794</v>
      </c>
      <c r="N370" t="str">
        <f>""</f>
        <v/>
      </c>
      <c r="O370" t="s">
        <v>1382</v>
      </c>
      <c r="P370" t="s">
        <v>1383</v>
      </c>
      <c r="R370" t="s">
        <v>1275</v>
      </c>
      <c r="S370" t="s">
        <v>36</v>
      </c>
      <c r="T370" t="str">
        <f>"85233"</f>
        <v>85233</v>
      </c>
      <c r="U370" t="str">
        <f>""</f>
        <v/>
      </c>
      <c r="V370" t="s">
        <v>1383</v>
      </c>
      <c r="X370" t="s">
        <v>1275</v>
      </c>
      <c r="Y370" t="s">
        <v>36</v>
      </c>
      <c r="Z370" t="str">
        <f>"85233"</f>
        <v>85233</v>
      </c>
      <c r="AA370" t="str">
        <f>""</f>
        <v/>
      </c>
      <c r="AB370" t="s">
        <v>156</v>
      </c>
    </row>
    <row r="371" spans="1:28" x14ac:dyDescent="0.25">
      <c r="A371">
        <v>4239</v>
      </c>
      <c r="B371" t="str">
        <f t="shared" si="58"/>
        <v>070241000</v>
      </c>
      <c r="C371" t="s">
        <v>1270</v>
      </c>
      <c r="D371">
        <v>78919</v>
      </c>
      <c r="E371" t="str">
        <f>"070241158"</f>
        <v>070241158</v>
      </c>
      <c r="F371" t="s">
        <v>1384</v>
      </c>
      <c r="G371" t="s">
        <v>42</v>
      </c>
      <c r="H371" t="s">
        <v>1385</v>
      </c>
      <c r="I371" t="s">
        <v>1386</v>
      </c>
      <c r="J371" t="s">
        <v>926</v>
      </c>
      <c r="K371" t="str">
        <f>"4805071481"</f>
        <v>4805071481</v>
      </c>
      <c r="L371" t="str">
        <f>"146"</f>
        <v>146</v>
      </c>
      <c r="M371" t="str">
        <f>"4805071550"</f>
        <v>4805071550</v>
      </c>
      <c r="N371" t="str">
        <f>""</f>
        <v/>
      </c>
      <c r="O371" t="s">
        <v>1387</v>
      </c>
      <c r="P371" t="s">
        <v>1388</v>
      </c>
      <c r="R371" t="s">
        <v>1275</v>
      </c>
      <c r="S371" t="s">
        <v>36</v>
      </c>
      <c r="T371" t="str">
        <f>"85296"</f>
        <v>85296</v>
      </c>
      <c r="U371" t="str">
        <f>""</f>
        <v/>
      </c>
      <c r="V371" t="s">
        <v>1388</v>
      </c>
      <c r="X371" t="s">
        <v>1275</v>
      </c>
      <c r="Y371" t="s">
        <v>36</v>
      </c>
      <c r="Z371" t="str">
        <f>"85296"</f>
        <v>85296</v>
      </c>
      <c r="AA371" t="str">
        <f>""</f>
        <v/>
      </c>
      <c r="AB371" t="s">
        <v>156</v>
      </c>
    </row>
    <row r="372" spans="1:28" x14ac:dyDescent="0.25">
      <c r="A372">
        <v>4239</v>
      </c>
      <c r="B372" t="str">
        <f t="shared" si="58"/>
        <v>070241000</v>
      </c>
      <c r="C372" t="s">
        <v>1270</v>
      </c>
      <c r="D372">
        <v>79144</v>
      </c>
      <c r="E372" t="str">
        <f>"070241159"</f>
        <v>070241159</v>
      </c>
      <c r="F372" t="s">
        <v>1389</v>
      </c>
      <c r="G372" t="s">
        <v>42</v>
      </c>
      <c r="H372" t="s">
        <v>1318</v>
      </c>
      <c r="I372" t="s">
        <v>1390</v>
      </c>
      <c r="J372" t="s">
        <v>926</v>
      </c>
      <c r="K372" t="str">
        <f>"4805071359"</f>
        <v>4805071359</v>
      </c>
      <c r="L372" t="str">
        <f>"3"</f>
        <v>3</v>
      </c>
      <c r="M372" t="str">
        <f>"4805071487"</f>
        <v>4805071487</v>
      </c>
      <c r="N372" t="str">
        <f>""</f>
        <v/>
      </c>
      <c r="O372" t="s">
        <v>1391</v>
      </c>
      <c r="P372" t="s">
        <v>1392</v>
      </c>
      <c r="R372" t="s">
        <v>1275</v>
      </c>
      <c r="S372" t="s">
        <v>36</v>
      </c>
      <c r="T372" t="str">
        <f>"85234"</f>
        <v>85234</v>
      </c>
      <c r="U372" t="str">
        <f>""</f>
        <v/>
      </c>
      <c r="V372" t="s">
        <v>1392</v>
      </c>
      <c r="X372" t="s">
        <v>1275</v>
      </c>
      <c r="Y372" t="s">
        <v>36</v>
      </c>
      <c r="Z372" t="str">
        <f>"85234"</f>
        <v>85234</v>
      </c>
      <c r="AA372" t="str">
        <f>""</f>
        <v/>
      </c>
      <c r="AB372" t="s">
        <v>156</v>
      </c>
    </row>
    <row r="373" spans="1:28" x14ac:dyDescent="0.25">
      <c r="A373">
        <v>4239</v>
      </c>
      <c r="B373" t="str">
        <f t="shared" si="58"/>
        <v>070241000</v>
      </c>
      <c r="C373" t="s">
        <v>1270</v>
      </c>
      <c r="D373">
        <v>79145</v>
      </c>
      <c r="E373" t="str">
        <f>"070241160"</f>
        <v>070241160</v>
      </c>
      <c r="F373" t="s">
        <v>1393</v>
      </c>
      <c r="G373" t="s">
        <v>42</v>
      </c>
      <c r="H373" t="s">
        <v>1394</v>
      </c>
      <c r="I373" t="s">
        <v>1395</v>
      </c>
      <c r="J373" t="s">
        <v>926</v>
      </c>
      <c r="K373" t="str">
        <f>"4805071404"</f>
        <v>4805071404</v>
      </c>
      <c r="L373" t="str">
        <f>"4"</f>
        <v>4</v>
      </c>
      <c r="M373" t="str">
        <f>"4805072020"</f>
        <v>4805072020</v>
      </c>
      <c r="N373" t="str">
        <f>""</f>
        <v/>
      </c>
      <c r="O373" t="s">
        <v>1396</v>
      </c>
      <c r="P373" t="s">
        <v>1397</v>
      </c>
      <c r="R373" t="s">
        <v>979</v>
      </c>
      <c r="S373" t="s">
        <v>36</v>
      </c>
      <c r="T373" t="str">
        <f>"85212"</f>
        <v>85212</v>
      </c>
      <c r="U373" t="str">
        <f>""</f>
        <v/>
      </c>
      <c r="V373" t="s">
        <v>1397</v>
      </c>
      <c r="X373" t="s">
        <v>979</v>
      </c>
      <c r="Y373" t="s">
        <v>36</v>
      </c>
      <c r="Z373" t="str">
        <f>"85212"</f>
        <v>85212</v>
      </c>
      <c r="AA373" t="str">
        <f>""</f>
        <v/>
      </c>
      <c r="AB373" t="s">
        <v>156</v>
      </c>
    </row>
    <row r="374" spans="1:28" x14ac:dyDescent="0.25">
      <c r="A374">
        <v>4239</v>
      </c>
      <c r="B374" t="str">
        <f t="shared" si="58"/>
        <v>070241000</v>
      </c>
      <c r="C374" t="s">
        <v>1270</v>
      </c>
      <c r="D374">
        <v>79181</v>
      </c>
      <c r="E374" t="str">
        <f>"070241161"</f>
        <v>070241161</v>
      </c>
      <c r="F374" t="s">
        <v>1398</v>
      </c>
      <c r="G374" t="s">
        <v>42</v>
      </c>
      <c r="H374" t="s">
        <v>431</v>
      </c>
      <c r="I374" t="s">
        <v>1399</v>
      </c>
      <c r="J374" t="s">
        <v>1400</v>
      </c>
      <c r="K374" t="str">
        <f>"4809179900"</f>
        <v>4809179900</v>
      </c>
      <c r="L374" t="str">
        <f>"335"</f>
        <v>335</v>
      </c>
      <c r="M374" t="str">
        <f>"4809173400"</f>
        <v>4809173400</v>
      </c>
      <c r="N374" t="str">
        <f>""</f>
        <v/>
      </c>
      <c r="O374" t="s">
        <v>1401</v>
      </c>
      <c r="P374" t="s">
        <v>1402</v>
      </c>
      <c r="R374" t="s">
        <v>1275</v>
      </c>
      <c r="S374" t="s">
        <v>36</v>
      </c>
      <c r="T374" t="str">
        <f>"85295"</f>
        <v>85295</v>
      </c>
      <c r="U374" t="str">
        <f>""</f>
        <v/>
      </c>
      <c r="V374" t="s">
        <v>1402</v>
      </c>
      <c r="X374" t="s">
        <v>1275</v>
      </c>
      <c r="Y374" t="s">
        <v>36</v>
      </c>
      <c r="Z374" t="str">
        <f>"85295"</f>
        <v>85295</v>
      </c>
      <c r="AA374" t="str">
        <f>""</f>
        <v/>
      </c>
      <c r="AB374" t="s">
        <v>156</v>
      </c>
    </row>
    <row r="375" spans="1:28" x14ac:dyDescent="0.25">
      <c r="A375">
        <v>4239</v>
      </c>
      <c r="B375" t="str">
        <f t="shared" si="58"/>
        <v>070241000</v>
      </c>
      <c r="C375" t="s">
        <v>1270</v>
      </c>
      <c r="D375">
        <v>79629</v>
      </c>
      <c r="E375" t="str">
        <f>"070241124"</f>
        <v>070241124</v>
      </c>
      <c r="F375" t="s">
        <v>1403</v>
      </c>
      <c r="G375" t="s">
        <v>42</v>
      </c>
      <c r="H375" t="s">
        <v>1404</v>
      </c>
      <c r="I375" t="s">
        <v>1405</v>
      </c>
      <c r="J375" t="s">
        <v>926</v>
      </c>
      <c r="K375" t="str">
        <f>"4806352025"</f>
        <v>4806352025</v>
      </c>
      <c r="L375" t="str">
        <f>"4"</f>
        <v>4</v>
      </c>
      <c r="M375" t="str">
        <f>"4806352035"</f>
        <v>4806352035</v>
      </c>
      <c r="N375" t="str">
        <f>""</f>
        <v/>
      </c>
      <c r="O375" t="s">
        <v>1406</v>
      </c>
      <c r="P375" t="s">
        <v>1407</v>
      </c>
      <c r="R375" t="s">
        <v>979</v>
      </c>
      <c r="S375" t="s">
        <v>36</v>
      </c>
      <c r="T375" t="str">
        <f>"85209"</f>
        <v>85209</v>
      </c>
      <c r="U375" t="str">
        <f>""</f>
        <v/>
      </c>
      <c r="V375" t="s">
        <v>1407</v>
      </c>
      <c r="X375" t="s">
        <v>979</v>
      </c>
      <c r="Y375" t="s">
        <v>36</v>
      </c>
      <c r="Z375" t="str">
        <f>"85209"</f>
        <v>85209</v>
      </c>
      <c r="AA375" t="str">
        <f>""</f>
        <v/>
      </c>
      <c r="AB375" t="s">
        <v>156</v>
      </c>
    </row>
    <row r="376" spans="1:28" x14ac:dyDescent="0.25">
      <c r="A376">
        <v>4239</v>
      </c>
      <c r="B376" t="str">
        <f t="shared" si="58"/>
        <v>070241000</v>
      </c>
      <c r="C376" t="s">
        <v>1270</v>
      </c>
      <c r="D376">
        <v>79630</v>
      </c>
      <c r="E376" t="str">
        <f>"070241162"</f>
        <v>070241162</v>
      </c>
      <c r="F376" t="s">
        <v>1408</v>
      </c>
      <c r="G376" t="s">
        <v>42</v>
      </c>
      <c r="H376" t="s">
        <v>1409</v>
      </c>
      <c r="I376" t="s">
        <v>1410</v>
      </c>
      <c r="J376" t="s">
        <v>1400</v>
      </c>
      <c r="K376" t="str">
        <f>"4806352011"</f>
        <v>4806352011</v>
      </c>
      <c r="L376" t="str">
        <f>"4"</f>
        <v>4</v>
      </c>
      <c r="M376" t="str">
        <f>"4806352047"</f>
        <v>4806352047</v>
      </c>
      <c r="N376" t="str">
        <f>""</f>
        <v/>
      </c>
      <c r="O376" t="s">
        <v>1411</v>
      </c>
      <c r="P376" t="s">
        <v>1412</v>
      </c>
      <c r="R376" t="s">
        <v>979</v>
      </c>
      <c r="S376" t="s">
        <v>36</v>
      </c>
      <c r="T376" t="str">
        <f>"85209"</f>
        <v>85209</v>
      </c>
      <c r="U376" t="str">
        <f>""</f>
        <v/>
      </c>
      <c r="V376" t="s">
        <v>1412</v>
      </c>
      <c r="X376" t="s">
        <v>979</v>
      </c>
      <c r="Y376" t="s">
        <v>36</v>
      </c>
      <c r="Z376" t="str">
        <f>"85209"</f>
        <v>85209</v>
      </c>
      <c r="AA376" t="str">
        <f>""</f>
        <v/>
      </c>
      <c r="AB376" t="s">
        <v>156</v>
      </c>
    </row>
    <row r="377" spans="1:28" x14ac:dyDescent="0.25">
      <c r="A377">
        <v>4239</v>
      </c>
      <c r="B377" t="str">
        <f t="shared" si="58"/>
        <v>070241000</v>
      </c>
      <c r="C377" t="s">
        <v>1270</v>
      </c>
      <c r="D377">
        <v>79823</v>
      </c>
      <c r="E377" t="str">
        <f>"070241213"</f>
        <v>070241213</v>
      </c>
      <c r="F377" t="s">
        <v>1413</v>
      </c>
      <c r="G377" t="s">
        <v>42</v>
      </c>
      <c r="H377" t="s">
        <v>1414</v>
      </c>
      <c r="I377" t="s">
        <v>1415</v>
      </c>
      <c r="J377" t="s">
        <v>926</v>
      </c>
      <c r="K377" t="str">
        <f>"4809848947"</f>
        <v>4809848947</v>
      </c>
      <c r="L377" t="str">
        <f>"180"</f>
        <v>180</v>
      </c>
      <c r="M377" t="str">
        <f>"4803545134"</f>
        <v>4803545134</v>
      </c>
      <c r="N377" t="str">
        <f>""</f>
        <v/>
      </c>
      <c r="O377" t="s">
        <v>1416</v>
      </c>
      <c r="P377" t="s">
        <v>1417</v>
      </c>
      <c r="R377" t="s">
        <v>979</v>
      </c>
      <c r="S377" t="s">
        <v>36</v>
      </c>
      <c r="T377" t="str">
        <f>"85209"</f>
        <v>85209</v>
      </c>
      <c r="U377" t="str">
        <f>""</f>
        <v/>
      </c>
      <c r="V377" t="s">
        <v>1417</v>
      </c>
      <c r="X377" t="s">
        <v>979</v>
      </c>
      <c r="Y377" t="s">
        <v>36</v>
      </c>
      <c r="Z377" t="str">
        <f>"85209"</f>
        <v>85209</v>
      </c>
      <c r="AA377" t="str">
        <f>""</f>
        <v/>
      </c>
      <c r="AB377" t="s">
        <v>156</v>
      </c>
    </row>
    <row r="378" spans="1:28" x14ac:dyDescent="0.25">
      <c r="A378">
        <v>4239</v>
      </c>
      <c r="B378" t="str">
        <f t="shared" si="58"/>
        <v>070241000</v>
      </c>
      <c r="C378" t="s">
        <v>1270</v>
      </c>
      <c r="D378">
        <v>79829</v>
      </c>
      <c r="E378" t="str">
        <f>"070241163"</f>
        <v>070241163</v>
      </c>
      <c r="F378" t="s">
        <v>1418</v>
      </c>
      <c r="G378" t="s">
        <v>42</v>
      </c>
      <c r="H378" t="s">
        <v>1419</v>
      </c>
      <c r="I378" t="s">
        <v>1420</v>
      </c>
      <c r="J378" t="s">
        <v>926</v>
      </c>
      <c r="K378" t="str">
        <f>"4809843216"</f>
        <v>4809843216</v>
      </c>
      <c r="L378" t="str">
        <f>"272"</f>
        <v>272</v>
      </c>
      <c r="M378" t="str">
        <f>"4803803825"</f>
        <v>4803803825</v>
      </c>
      <c r="N378" t="str">
        <f>""</f>
        <v/>
      </c>
      <c r="O378" t="s">
        <v>1421</v>
      </c>
      <c r="P378" t="s">
        <v>1422</v>
      </c>
      <c r="R378" t="s">
        <v>979</v>
      </c>
      <c r="S378" t="s">
        <v>36</v>
      </c>
      <c r="T378" t="str">
        <f>"85212"</f>
        <v>85212</v>
      </c>
      <c r="U378" t="str">
        <f>""</f>
        <v/>
      </c>
      <c r="V378" t="s">
        <v>1422</v>
      </c>
      <c r="X378" t="s">
        <v>979</v>
      </c>
      <c r="Y378" t="s">
        <v>36</v>
      </c>
      <c r="Z378" t="str">
        <f>"85212"</f>
        <v>85212</v>
      </c>
      <c r="AA378" t="str">
        <f>""</f>
        <v/>
      </c>
      <c r="AB378" t="s">
        <v>156</v>
      </c>
    </row>
    <row r="379" spans="1:28" x14ac:dyDescent="0.25">
      <c r="A379">
        <v>4239</v>
      </c>
      <c r="B379" t="str">
        <f t="shared" si="58"/>
        <v>070241000</v>
      </c>
      <c r="C379" t="s">
        <v>1270</v>
      </c>
      <c r="D379">
        <v>81145</v>
      </c>
      <c r="E379" t="str">
        <f>"070241164"</f>
        <v>070241164</v>
      </c>
      <c r="F379" t="s">
        <v>1423</v>
      </c>
      <c r="G379" t="s">
        <v>42</v>
      </c>
      <c r="H379" t="s">
        <v>1424</v>
      </c>
      <c r="I379" t="s">
        <v>1425</v>
      </c>
      <c r="J379" t="s">
        <v>926</v>
      </c>
      <c r="K379" t="str">
        <f>"4809170117"</f>
        <v>4809170117</v>
      </c>
      <c r="L379" t="str">
        <f>"4"</f>
        <v>4</v>
      </c>
      <c r="M379" t="str">
        <f>"4809173450"</f>
        <v>4809173450</v>
      </c>
      <c r="N379" t="str">
        <f>""</f>
        <v/>
      </c>
      <c r="O379" t="s">
        <v>1426</v>
      </c>
      <c r="P379" t="s">
        <v>1427</v>
      </c>
      <c r="R379" t="s">
        <v>1275</v>
      </c>
      <c r="S379" t="s">
        <v>36</v>
      </c>
      <c r="T379" t="str">
        <f>"85295"</f>
        <v>85295</v>
      </c>
      <c r="U379" t="str">
        <f>""</f>
        <v/>
      </c>
      <c r="V379" t="s">
        <v>1427</v>
      </c>
      <c r="X379" t="s">
        <v>1275</v>
      </c>
      <c r="Y379" t="s">
        <v>36</v>
      </c>
      <c r="Z379" t="str">
        <f>"85295"</f>
        <v>85295</v>
      </c>
      <c r="AA379" t="str">
        <f>""</f>
        <v/>
      </c>
      <c r="AB379" t="s">
        <v>156</v>
      </c>
    </row>
    <row r="380" spans="1:28" x14ac:dyDescent="0.25">
      <c r="A380">
        <v>4239</v>
      </c>
      <c r="B380" t="str">
        <f t="shared" si="58"/>
        <v>070241000</v>
      </c>
      <c r="C380" t="s">
        <v>1270</v>
      </c>
      <c r="D380">
        <v>85847</v>
      </c>
      <c r="E380" t="str">
        <f>"070241125"</f>
        <v>070241125</v>
      </c>
      <c r="F380" t="s">
        <v>1428</v>
      </c>
      <c r="G380" t="s">
        <v>42</v>
      </c>
      <c r="H380" t="s">
        <v>1429</v>
      </c>
      <c r="I380" t="s">
        <v>1430</v>
      </c>
      <c r="J380" t="s">
        <v>926</v>
      </c>
      <c r="K380" t="str">
        <f>"4808550015"</f>
        <v>4808550015</v>
      </c>
      <c r="L380" t="str">
        <f>"312"</f>
        <v>312</v>
      </c>
      <c r="M380" t="str">
        <f>"4807860107"</f>
        <v>4807860107</v>
      </c>
      <c r="N380" t="str">
        <f>""</f>
        <v/>
      </c>
      <c r="O380" t="s">
        <v>1431</v>
      </c>
      <c r="P380" t="s">
        <v>1432</v>
      </c>
      <c r="R380" t="s">
        <v>1275</v>
      </c>
      <c r="S380" t="s">
        <v>36</v>
      </c>
      <c r="T380" t="str">
        <f>"85295"</f>
        <v>85295</v>
      </c>
      <c r="U380" t="str">
        <f>""</f>
        <v/>
      </c>
      <c r="V380" t="s">
        <v>1432</v>
      </c>
      <c r="X380" t="s">
        <v>1275</v>
      </c>
      <c r="Y380" t="s">
        <v>36</v>
      </c>
      <c r="Z380" t="str">
        <f>"85295"</f>
        <v>85295</v>
      </c>
      <c r="AA380" t="str">
        <f>""</f>
        <v/>
      </c>
      <c r="AB380" t="s">
        <v>156</v>
      </c>
    </row>
    <row r="381" spans="1:28" x14ac:dyDescent="0.25">
      <c r="A381">
        <v>4239</v>
      </c>
      <c r="B381" t="str">
        <f t="shared" si="58"/>
        <v>070241000</v>
      </c>
      <c r="C381" t="s">
        <v>1270</v>
      </c>
      <c r="D381">
        <v>87533</v>
      </c>
      <c r="E381" t="str">
        <f>"070241165"</f>
        <v>070241165</v>
      </c>
      <c r="F381" t="s">
        <v>1433</v>
      </c>
      <c r="G381" t="s">
        <v>42</v>
      </c>
      <c r="H381" t="s">
        <v>447</v>
      </c>
      <c r="I381" t="s">
        <v>1434</v>
      </c>
      <c r="J381" t="s">
        <v>926</v>
      </c>
      <c r="K381" t="str">
        <f>"4804974032"</f>
        <v>4804974032</v>
      </c>
      <c r="L381" t="str">
        <f>"3"</f>
        <v>3</v>
      </c>
      <c r="M381" t="str">
        <f>"4804974039"</f>
        <v>4804974039</v>
      </c>
      <c r="N381" t="str">
        <f>""</f>
        <v/>
      </c>
      <c r="O381" t="s">
        <v>1435</v>
      </c>
      <c r="P381" t="s">
        <v>1436</v>
      </c>
      <c r="R381" t="s">
        <v>979</v>
      </c>
      <c r="S381" t="s">
        <v>36</v>
      </c>
      <c r="T381" t="str">
        <f>"85212"</f>
        <v>85212</v>
      </c>
      <c r="U381" t="str">
        <f>""</f>
        <v/>
      </c>
      <c r="V381" t="s">
        <v>1436</v>
      </c>
      <c r="X381" t="s">
        <v>979</v>
      </c>
      <c r="Y381" t="s">
        <v>36</v>
      </c>
      <c r="Z381" t="str">
        <f>"85212"</f>
        <v>85212</v>
      </c>
      <c r="AA381" t="str">
        <f>""</f>
        <v/>
      </c>
      <c r="AB381" t="s">
        <v>156</v>
      </c>
    </row>
    <row r="382" spans="1:28" x14ac:dyDescent="0.25">
      <c r="A382">
        <v>4239</v>
      </c>
      <c r="B382" t="str">
        <f t="shared" si="58"/>
        <v>070241000</v>
      </c>
      <c r="C382" t="s">
        <v>1270</v>
      </c>
      <c r="D382">
        <v>88401</v>
      </c>
      <c r="E382" t="str">
        <f>"070241166"</f>
        <v>070241166</v>
      </c>
      <c r="F382" t="s">
        <v>1437</v>
      </c>
      <c r="G382" t="s">
        <v>42</v>
      </c>
      <c r="H382" t="s">
        <v>1438</v>
      </c>
      <c r="I382" t="s">
        <v>1439</v>
      </c>
      <c r="J382" t="s">
        <v>926</v>
      </c>
      <c r="K382" t="str">
        <f>"4808323034"</f>
        <v>4808323034</v>
      </c>
      <c r="L382" t="str">
        <f>"313"</f>
        <v>313</v>
      </c>
      <c r="M382" t="str">
        <f>"4808323027"</f>
        <v>4808323027</v>
      </c>
      <c r="N382" t="str">
        <f>""</f>
        <v/>
      </c>
      <c r="O382" t="s">
        <v>1440</v>
      </c>
      <c r="P382" t="s">
        <v>1441</v>
      </c>
      <c r="R382" t="s">
        <v>1275</v>
      </c>
      <c r="S382" t="s">
        <v>36</v>
      </c>
      <c r="T382" t="str">
        <f>"85234"</f>
        <v>85234</v>
      </c>
      <c r="U382" t="str">
        <f>""</f>
        <v/>
      </c>
      <c r="V382" t="s">
        <v>1441</v>
      </c>
      <c r="X382" t="s">
        <v>1275</v>
      </c>
      <c r="Y382" t="s">
        <v>36</v>
      </c>
      <c r="Z382" t="str">
        <f>"85234"</f>
        <v>85234</v>
      </c>
      <c r="AA382" t="str">
        <f>""</f>
        <v/>
      </c>
      <c r="AB382" t="s">
        <v>156</v>
      </c>
    </row>
    <row r="383" spans="1:28" x14ac:dyDescent="0.25">
      <c r="A383">
        <v>4239</v>
      </c>
      <c r="B383" t="str">
        <f t="shared" si="58"/>
        <v>070241000</v>
      </c>
      <c r="C383" t="s">
        <v>1270</v>
      </c>
      <c r="D383">
        <v>89594</v>
      </c>
      <c r="E383" t="str">
        <f>"070241167"</f>
        <v>070241167</v>
      </c>
      <c r="F383" t="s">
        <v>1442</v>
      </c>
      <c r="G383" t="s">
        <v>42</v>
      </c>
      <c r="H383" t="s">
        <v>1443</v>
      </c>
      <c r="I383" t="s">
        <v>1444</v>
      </c>
      <c r="J383" t="s">
        <v>926</v>
      </c>
      <c r="K383" t="str">
        <f>"4808555732"</f>
        <v>4808555732</v>
      </c>
      <c r="L383" t="str">
        <f>"308"</f>
        <v>308</v>
      </c>
      <c r="M383" t="str">
        <f>"4808555797"</f>
        <v>4808555797</v>
      </c>
      <c r="N383" t="str">
        <f>""</f>
        <v/>
      </c>
      <c r="O383" t="s">
        <v>1445</v>
      </c>
      <c r="P383" t="s">
        <v>1446</v>
      </c>
      <c r="R383" t="s">
        <v>1275</v>
      </c>
      <c r="S383" t="s">
        <v>36</v>
      </c>
      <c r="T383" t="str">
        <f>"85297"</f>
        <v>85297</v>
      </c>
      <c r="U383" t="str">
        <f>""</f>
        <v/>
      </c>
      <c r="V383" t="s">
        <v>1446</v>
      </c>
      <c r="X383" t="s">
        <v>1275</v>
      </c>
      <c r="Y383" t="s">
        <v>36</v>
      </c>
      <c r="Z383" t="str">
        <f>"85297"</f>
        <v>85297</v>
      </c>
      <c r="AA383" t="str">
        <f>""</f>
        <v/>
      </c>
      <c r="AB383" t="s">
        <v>156</v>
      </c>
    </row>
    <row r="384" spans="1:28" x14ac:dyDescent="0.25">
      <c r="A384">
        <v>4239</v>
      </c>
      <c r="B384" t="str">
        <f t="shared" si="58"/>
        <v>070241000</v>
      </c>
      <c r="C384" t="s">
        <v>1270</v>
      </c>
      <c r="D384">
        <v>89605</v>
      </c>
      <c r="E384" t="str">
        <f>"070241134"</f>
        <v>070241134</v>
      </c>
      <c r="F384" t="s">
        <v>1447</v>
      </c>
      <c r="G384" t="s">
        <v>42</v>
      </c>
      <c r="H384" t="s">
        <v>398</v>
      </c>
      <c r="I384" t="s">
        <v>1448</v>
      </c>
      <c r="J384" t="s">
        <v>926</v>
      </c>
      <c r="K384" t="str">
        <f>"4804974037"</f>
        <v>4804974037</v>
      </c>
      <c r="L384" t="str">
        <f>"2203"</f>
        <v>2203</v>
      </c>
      <c r="M384" t="str">
        <f>"4805073506"</f>
        <v>4805073506</v>
      </c>
      <c r="N384" t="str">
        <f>""</f>
        <v/>
      </c>
      <c r="O384" t="s">
        <v>1449</v>
      </c>
      <c r="P384" t="s">
        <v>1450</v>
      </c>
      <c r="R384" t="s">
        <v>1275</v>
      </c>
      <c r="S384" t="s">
        <v>36</v>
      </c>
      <c r="T384" t="str">
        <f>"85234"</f>
        <v>85234</v>
      </c>
      <c r="U384" t="str">
        <f>""</f>
        <v/>
      </c>
      <c r="V384" t="s">
        <v>1450</v>
      </c>
      <c r="X384" t="s">
        <v>1275</v>
      </c>
      <c r="Y384" t="s">
        <v>36</v>
      </c>
      <c r="Z384" t="str">
        <f>"85234"</f>
        <v>85234</v>
      </c>
      <c r="AA384" t="str">
        <f>""</f>
        <v/>
      </c>
      <c r="AB384" t="s">
        <v>156</v>
      </c>
    </row>
    <row r="385" spans="1:28" x14ac:dyDescent="0.25">
      <c r="A385">
        <v>4239</v>
      </c>
      <c r="B385" t="str">
        <f t="shared" si="58"/>
        <v>070241000</v>
      </c>
      <c r="C385" t="s">
        <v>1270</v>
      </c>
      <c r="D385">
        <v>90124</v>
      </c>
      <c r="E385" t="str">
        <f>"070241214"</f>
        <v>070241214</v>
      </c>
      <c r="F385" t="s">
        <v>1451</v>
      </c>
      <c r="G385" t="s">
        <v>42</v>
      </c>
      <c r="H385" t="s">
        <v>1452</v>
      </c>
      <c r="I385" t="s">
        <v>1453</v>
      </c>
      <c r="J385" t="s">
        <v>926</v>
      </c>
      <c r="K385" t="str">
        <f>"4805453100"</f>
        <v>4805453100</v>
      </c>
      <c r="L385" t="str">
        <f>"2403"</f>
        <v>2403</v>
      </c>
      <c r="M385" t="str">
        <f>"4805453101"</f>
        <v>4805453101</v>
      </c>
      <c r="N385" t="str">
        <f>""</f>
        <v/>
      </c>
      <c r="O385" t="s">
        <v>1454</v>
      </c>
      <c r="P385" t="s">
        <v>1455</v>
      </c>
      <c r="R385" t="s">
        <v>1275</v>
      </c>
      <c r="S385" t="s">
        <v>36</v>
      </c>
      <c r="T385" t="str">
        <f>"85297"</f>
        <v>85297</v>
      </c>
      <c r="U385" t="str">
        <f>""</f>
        <v/>
      </c>
      <c r="V385" t="s">
        <v>1455</v>
      </c>
      <c r="X385" t="s">
        <v>1275</v>
      </c>
      <c r="Y385" t="s">
        <v>36</v>
      </c>
      <c r="Z385" t="str">
        <f>"85297"</f>
        <v>85297</v>
      </c>
      <c r="AA385" t="str">
        <f>""</f>
        <v/>
      </c>
      <c r="AB385" t="s">
        <v>156</v>
      </c>
    </row>
    <row r="386" spans="1:28" x14ac:dyDescent="0.25">
      <c r="A386">
        <v>4239</v>
      </c>
      <c r="B386" t="str">
        <f t="shared" si="58"/>
        <v>070241000</v>
      </c>
      <c r="C386" t="s">
        <v>1270</v>
      </c>
      <c r="D386">
        <v>127500</v>
      </c>
      <c r="E386" t="str">
        <f>"072190004"</f>
        <v>072190004</v>
      </c>
      <c r="F386" t="s">
        <v>1456</v>
      </c>
      <c r="G386" t="s">
        <v>42</v>
      </c>
      <c r="H386" t="s">
        <v>229</v>
      </c>
      <c r="I386" t="s">
        <v>1282</v>
      </c>
      <c r="J386" t="s">
        <v>1457</v>
      </c>
      <c r="K386" t="str">
        <f>"4808131770"</f>
        <v>4808131770</v>
      </c>
      <c r="L386" t="str">
        <f>""</f>
        <v/>
      </c>
      <c r="M386" t="str">
        <f>"4808137279"</f>
        <v>4808137279</v>
      </c>
      <c r="N386" t="str">
        <f>"241"</f>
        <v>241</v>
      </c>
      <c r="O386" t="s">
        <v>1283</v>
      </c>
      <c r="P386" t="s">
        <v>1458</v>
      </c>
      <c r="R386" t="s">
        <v>1275</v>
      </c>
      <c r="S386" t="s">
        <v>36</v>
      </c>
      <c r="T386" t="str">
        <f>"85234"</f>
        <v>85234</v>
      </c>
      <c r="U386" t="str">
        <f>""</f>
        <v/>
      </c>
      <c r="V386" t="s">
        <v>1458</v>
      </c>
      <c r="X386" t="s">
        <v>1275</v>
      </c>
      <c r="Y386" t="s">
        <v>36</v>
      </c>
      <c r="Z386" t="str">
        <f>"85234"</f>
        <v>85234</v>
      </c>
      <c r="AA386" t="str">
        <f>""</f>
        <v/>
      </c>
      <c r="AB386" t="s">
        <v>156</v>
      </c>
    </row>
    <row r="387" spans="1:28" x14ac:dyDescent="0.25">
      <c r="A387">
        <v>4240</v>
      </c>
      <c r="B387" t="str">
        <f t="shared" ref="B387:B416" si="59">"070248000"</f>
        <v>070248000</v>
      </c>
      <c r="C387" t="s">
        <v>1459</v>
      </c>
      <c r="D387">
        <v>0</v>
      </c>
      <c r="E387" t="str">
        <f>""</f>
        <v/>
      </c>
      <c r="G387" t="s">
        <v>29</v>
      </c>
      <c r="H387" t="s">
        <v>1460</v>
      </c>
      <c r="I387" t="s">
        <v>1461</v>
      </c>
      <c r="J387" t="s">
        <v>1462</v>
      </c>
      <c r="K387" t="str">
        <f t="shared" ref="K387:K416" si="60">"4804846208"</f>
        <v>4804846208</v>
      </c>
      <c r="L387" t="str">
        <f>""</f>
        <v/>
      </c>
      <c r="M387" t="str">
        <f t="shared" ref="M387:M394" si="61">"4804846281"</f>
        <v>4804846281</v>
      </c>
      <c r="N387" t="str">
        <f>""</f>
        <v/>
      </c>
      <c r="O387" t="s">
        <v>1463</v>
      </c>
      <c r="P387" t="s">
        <v>1464</v>
      </c>
      <c r="R387" t="s">
        <v>1465</v>
      </c>
      <c r="S387" t="s">
        <v>36</v>
      </c>
      <c r="T387" t="str">
        <f t="shared" ref="T387:T416" si="62">"85257"</f>
        <v>85257</v>
      </c>
      <c r="U387" t="str">
        <f>""</f>
        <v/>
      </c>
      <c r="V387" t="s">
        <v>1464</v>
      </c>
      <c r="X387" t="s">
        <v>1465</v>
      </c>
      <c r="Y387" t="s">
        <v>36</v>
      </c>
      <c r="Z387" t="str">
        <f>"85257"</f>
        <v>85257</v>
      </c>
      <c r="AA387" t="str">
        <f>""</f>
        <v/>
      </c>
      <c r="AB387" t="s">
        <v>1466</v>
      </c>
    </row>
    <row r="388" spans="1:28" x14ac:dyDescent="0.25">
      <c r="A388">
        <v>4240</v>
      </c>
      <c r="B388" t="str">
        <f t="shared" si="59"/>
        <v>070248000</v>
      </c>
      <c r="C388" t="s">
        <v>1459</v>
      </c>
      <c r="D388">
        <v>5043</v>
      </c>
      <c r="E388" t="str">
        <f>"070248102"</f>
        <v>070248102</v>
      </c>
      <c r="F388" t="s">
        <v>422</v>
      </c>
      <c r="G388" t="s">
        <v>42</v>
      </c>
      <c r="H388" t="s">
        <v>1460</v>
      </c>
      <c r="I388" t="s">
        <v>1461</v>
      </c>
      <c r="J388" t="s">
        <v>1467</v>
      </c>
      <c r="K388" t="str">
        <f t="shared" si="60"/>
        <v>4804846208</v>
      </c>
      <c r="L388" t="str">
        <f>""</f>
        <v/>
      </c>
      <c r="M388" t="str">
        <f t="shared" si="61"/>
        <v>4804846281</v>
      </c>
      <c r="N388" t="str">
        <f>""</f>
        <v/>
      </c>
      <c r="O388" t="s">
        <v>1463</v>
      </c>
      <c r="P388" t="s">
        <v>1464</v>
      </c>
      <c r="R388" t="s">
        <v>1465</v>
      </c>
      <c r="S388" t="s">
        <v>36</v>
      </c>
      <c r="T388" t="str">
        <f t="shared" si="62"/>
        <v>85257</v>
      </c>
      <c r="U388" t="str">
        <f>""</f>
        <v/>
      </c>
      <c r="V388" t="s">
        <v>1468</v>
      </c>
      <c r="X388" t="s">
        <v>1465</v>
      </c>
      <c r="Y388" t="s">
        <v>36</v>
      </c>
      <c r="Z388" t="str">
        <f>"85258"</f>
        <v>85258</v>
      </c>
      <c r="AA388" t="str">
        <f>"1836"</f>
        <v>1836</v>
      </c>
      <c r="AB388" t="s">
        <v>1466</v>
      </c>
    </row>
    <row r="389" spans="1:28" x14ac:dyDescent="0.25">
      <c r="A389">
        <v>4240</v>
      </c>
      <c r="B389" t="str">
        <f t="shared" si="59"/>
        <v>070248000</v>
      </c>
      <c r="C389" t="s">
        <v>1459</v>
      </c>
      <c r="D389">
        <v>5044</v>
      </c>
      <c r="E389" t="str">
        <f>"070248103"</f>
        <v>070248103</v>
      </c>
      <c r="F389" t="s">
        <v>1469</v>
      </c>
      <c r="G389" t="s">
        <v>42</v>
      </c>
      <c r="H389" t="s">
        <v>1460</v>
      </c>
      <c r="I389" t="s">
        <v>1461</v>
      </c>
      <c r="J389" t="s">
        <v>1467</v>
      </c>
      <c r="K389" t="str">
        <f t="shared" si="60"/>
        <v>4804846208</v>
      </c>
      <c r="L389" t="str">
        <f>""</f>
        <v/>
      </c>
      <c r="M389" t="str">
        <f t="shared" si="61"/>
        <v>4804846281</v>
      </c>
      <c r="N389" t="str">
        <f>""</f>
        <v/>
      </c>
      <c r="O389" t="s">
        <v>1463</v>
      </c>
      <c r="P389" t="s">
        <v>1464</v>
      </c>
      <c r="R389" t="s">
        <v>1465</v>
      </c>
      <c r="S389" t="s">
        <v>36</v>
      </c>
      <c r="T389" t="str">
        <f t="shared" si="62"/>
        <v>85257</v>
      </c>
      <c r="U389" t="str">
        <f>""</f>
        <v/>
      </c>
      <c r="V389" t="s">
        <v>1470</v>
      </c>
      <c r="X389" t="s">
        <v>964</v>
      </c>
      <c r="Y389" t="s">
        <v>36</v>
      </c>
      <c r="Z389" t="str">
        <f>"85018"</f>
        <v>85018</v>
      </c>
      <c r="AA389" t="str">
        <f>"6018"</f>
        <v>6018</v>
      </c>
      <c r="AB389" t="s">
        <v>1466</v>
      </c>
    </row>
    <row r="390" spans="1:28" x14ac:dyDescent="0.25">
      <c r="A390">
        <v>4240</v>
      </c>
      <c r="B390" t="str">
        <f t="shared" si="59"/>
        <v>070248000</v>
      </c>
      <c r="C390" t="s">
        <v>1459</v>
      </c>
      <c r="D390">
        <v>5045</v>
      </c>
      <c r="E390" t="str">
        <f>"070248107"</f>
        <v>070248107</v>
      </c>
      <c r="F390" t="s">
        <v>1471</v>
      </c>
      <c r="G390" t="s">
        <v>42</v>
      </c>
      <c r="H390" t="s">
        <v>1460</v>
      </c>
      <c r="I390" t="s">
        <v>1461</v>
      </c>
      <c r="J390" t="s">
        <v>1467</v>
      </c>
      <c r="K390" t="str">
        <f t="shared" si="60"/>
        <v>4804846208</v>
      </c>
      <c r="L390" t="str">
        <f>""</f>
        <v/>
      </c>
      <c r="M390" t="str">
        <f t="shared" si="61"/>
        <v>4804846281</v>
      </c>
      <c r="N390" t="str">
        <f>""</f>
        <v/>
      </c>
      <c r="O390" t="s">
        <v>1463</v>
      </c>
      <c r="P390" t="s">
        <v>1464</v>
      </c>
      <c r="R390" t="s">
        <v>1465</v>
      </c>
      <c r="S390" t="s">
        <v>36</v>
      </c>
      <c r="T390" t="str">
        <f t="shared" si="62"/>
        <v>85257</v>
      </c>
      <c r="U390" t="str">
        <f>""</f>
        <v/>
      </c>
      <c r="V390" t="s">
        <v>1472</v>
      </c>
      <c r="X390" t="s">
        <v>1465</v>
      </c>
      <c r="Y390" t="s">
        <v>36</v>
      </c>
      <c r="Z390" t="str">
        <f>"85253"</f>
        <v>85253</v>
      </c>
      <c r="AA390" t="str">
        <f>"5342"</f>
        <v>5342</v>
      </c>
      <c r="AB390" t="s">
        <v>1466</v>
      </c>
    </row>
    <row r="391" spans="1:28" x14ac:dyDescent="0.25">
      <c r="A391">
        <v>4240</v>
      </c>
      <c r="B391" t="str">
        <f t="shared" si="59"/>
        <v>070248000</v>
      </c>
      <c r="C391" t="s">
        <v>1459</v>
      </c>
      <c r="D391">
        <v>5046</v>
      </c>
      <c r="E391" t="str">
        <f>"070248108"</f>
        <v>070248108</v>
      </c>
      <c r="F391" t="s">
        <v>1473</v>
      </c>
      <c r="G391" t="s">
        <v>42</v>
      </c>
      <c r="H391" t="s">
        <v>1460</v>
      </c>
      <c r="I391" t="s">
        <v>1461</v>
      </c>
      <c r="J391" t="s">
        <v>1467</v>
      </c>
      <c r="K391" t="str">
        <f t="shared" si="60"/>
        <v>4804846208</v>
      </c>
      <c r="L391" t="str">
        <f>""</f>
        <v/>
      </c>
      <c r="M391" t="str">
        <f t="shared" si="61"/>
        <v>4804846281</v>
      </c>
      <c r="N391" t="str">
        <f>""</f>
        <v/>
      </c>
      <c r="O391" t="s">
        <v>1463</v>
      </c>
      <c r="P391" t="s">
        <v>1464</v>
      </c>
      <c r="R391" t="s">
        <v>1465</v>
      </c>
      <c r="S391" t="s">
        <v>36</v>
      </c>
      <c r="T391" t="str">
        <f t="shared" si="62"/>
        <v>85257</v>
      </c>
      <c r="U391" t="str">
        <f>""</f>
        <v/>
      </c>
      <c r="V391" t="s">
        <v>1474</v>
      </c>
      <c r="X391" t="s">
        <v>1465</v>
      </c>
      <c r="Y391" t="s">
        <v>36</v>
      </c>
      <c r="Z391" t="str">
        <f>"85251"</f>
        <v>85251</v>
      </c>
      <c r="AA391" t="str">
        <f>"1911"</f>
        <v>1911</v>
      </c>
      <c r="AB391" t="s">
        <v>1466</v>
      </c>
    </row>
    <row r="392" spans="1:28" x14ac:dyDescent="0.25">
      <c r="A392">
        <v>4240</v>
      </c>
      <c r="B392" t="str">
        <f t="shared" si="59"/>
        <v>070248000</v>
      </c>
      <c r="C392" t="s">
        <v>1459</v>
      </c>
      <c r="D392">
        <v>5047</v>
      </c>
      <c r="E392" t="str">
        <f>"070248109"</f>
        <v>070248109</v>
      </c>
      <c r="F392" t="s">
        <v>1475</v>
      </c>
      <c r="G392" t="s">
        <v>42</v>
      </c>
      <c r="H392" t="s">
        <v>1460</v>
      </c>
      <c r="I392" t="s">
        <v>1461</v>
      </c>
      <c r="J392" t="s">
        <v>1467</v>
      </c>
      <c r="K392" t="str">
        <f t="shared" si="60"/>
        <v>4804846208</v>
      </c>
      <c r="L392" t="str">
        <f>""</f>
        <v/>
      </c>
      <c r="M392" t="str">
        <f t="shared" si="61"/>
        <v>4804846281</v>
      </c>
      <c r="N392" t="str">
        <f>""</f>
        <v/>
      </c>
      <c r="O392" t="s">
        <v>1463</v>
      </c>
      <c r="P392" t="s">
        <v>1464</v>
      </c>
      <c r="R392" t="s">
        <v>1465</v>
      </c>
      <c r="S392" t="s">
        <v>36</v>
      </c>
      <c r="T392" t="str">
        <f t="shared" si="62"/>
        <v>85257</v>
      </c>
      <c r="U392" t="str">
        <f>""</f>
        <v/>
      </c>
      <c r="V392" t="s">
        <v>1476</v>
      </c>
      <c r="X392" t="s">
        <v>1465</v>
      </c>
      <c r="Y392" t="s">
        <v>36</v>
      </c>
      <c r="Z392" t="str">
        <f>"85257"</f>
        <v>85257</v>
      </c>
      <c r="AA392" t="str">
        <f>""</f>
        <v/>
      </c>
      <c r="AB392" t="s">
        <v>1466</v>
      </c>
    </row>
    <row r="393" spans="1:28" x14ac:dyDescent="0.25">
      <c r="A393">
        <v>4240</v>
      </c>
      <c r="B393" t="str">
        <f t="shared" si="59"/>
        <v>070248000</v>
      </c>
      <c r="C393" t="s">
        <v>1459</v>
      </c>
      <c r="D393">
        <v>5048</v>
      </c>
      <c r="E393" t="str">
        <f>"070248110"</f>
        <v>070248110</v>
      </c>
      <c r="F393" t="s">
        <v>884</v>
      </c>
      <c r="G393" t="s">
        <v>42</v>
      </c>
      <c r="H393" t="s">
        <v>1460</v>
      </c>
      <c r="I393" t="s">
        <v>1461</v>
      </c>
      <c r="J393" t="s">
        <v>1467</v>
      </c>
      <c r="K393" t="str">
        <f t="shared" si="60"/>
        <v>4804846208</v>
      </c>
      <c r="L393" t="str">
        <f>""</f>
        <v/>
      </c>
      <c r="M393" t="str">
        <f t="shared" si="61"/>
        <v>4804846281</v>
      </c>
      <c r="N393" t="str">
        <f>""</f>
        <v/>
      </c>
      <c r="O393" t="s">
        <v>1463</v>
      </c>
      <c r="P393" t="s">
        <v>1477</v>
      </c>
      <c r="R393" t="s">
        <v>1465</v>
      </c>
      <c r="S393" t="s">
        <v>36</v>
      </c>
      <c r="T393" t="str">
        <f t="shared" si="62"/>
        <v>85257</v>
      </c>
      <c r="U393" t="str">
        <f>""</f>
        <v/>
      </c>
      <c r="V393" t="s">
        <v>1478</v>
      </c>
      <c r="X393" t="s">
        <v>1465</v>
      </c>
      <c r="Y393" t="s">
        <v>36</v>
      </c>
      <c r="Z393" t="str">
        <f>"85251"</f>
        <v>85251</v>
      </c>
      <c r="AA393" t="str">
        <f>"5904"</f>
        <v>5904</v>
      </c>
      <c r="AB393" t="s">
        <v>1466</v>
      </c>
    </row>
    <row r="394" spans="1:28" x14ac:dyDescent="0.25">
      <c r="A394">
        <v>4240</v>
      </c>
      <c r="B394" t="str">
        <f t="shared" si="59"/>
        <v>070248000</v>
      </c>
      <c r="C394" t="s">
        <v>1459</v>
      </c>
      <c r="D394">
        <v>5049</v>
      </c>
      <c r="E394" t="str">
        <f>"070248112"</f>
        <v>070248112</v>
      </c>
      <c r="F394" t="s">
        <v>1479</v>
      </c>
      <c r="G394" t="s">
        <v>42</v>
      </c>
      <c r="H394" t="s">
        <v>1460</v>
      </c>
      <c r="I394" t="s">
        <v>1461</v>
      </c>
      <c r="J394" t="s">
        <v>1467</v>
      </c>
      <c r="K394" t="str">
        <f t="shared" si="60"/>
        <v>4804846208</v>
      </c>
      <c r="L394" t="str">
        <f>""</f>
        <v/>
      </c>
      <c r="M394" t="str">
        <f t="shared" si="61"/>
        <v>4804846281</v>
      </c>
      <c r="N394" t="str">
        <f>""</f>
        <v/>
      </c>
      <c r="O394" t="s">
        <v>1463</v>
      </c>
      <c r="P394" t="s">
        <v>1464</v>
      </c>
      <c r="R394" t="s">
        <v>1465</v>
      </c>
      <c r="S394" t="s">
        <v>36</v>
      </c>
      <c r="T394" t="str">
        <f t="shared" si="62"/>
        <v>85257</v>
      </c>
      <c r="U394" t="str">
        <f>""</f>
        <v/>
      </c>
      <c r="V394" t="s">
        <v>1480</v>
      </c>
      <c r="X394" t="s">
        <v>964</v>
      </c>
      <c r="Y394" t="s">
        <v>36</v>
      </c>
      <c r="Z394" t="str">
        <f>"85018"</f>
        <v>85018</v>
      </c>
      <c r="AA394" t="str">
        <f>"4433"</f>
        <v>4433</v>
      </c>
      <c r="AB394" t="s">
        <v>1466</v>
      </c>
    </row>
    <row r="395" spans="1:28" x14ac:dyDescent="0.25">
      <c r="A395">
        <v>4240</v>
      </c>
      <c r="B395" t="str">
        <f t="shared" si="59"/>
        <v>070248000</v>
      </c>
      <c r="C395" t="s">
        <v>1459</v>
      </c>
      <c r="D395">
        <v>5050</v>
      </c>
      <c r="E395" t="str">
        <f>"070248113"</f>
        <v>070248113</v>
      </c>
      <c r="F395" t="s">
        <v>1481</v>
      </c>
      <c r="G395" t="s">
        <v>42</v>
      </c>
      <c r="H395" t="s">
        <v>1460</v>
      </c>
      <c r="I395" t="s">
        <v>1461</v>
      </c>
      <c r="J395" t="s">
        <v>1482</v>
      </c>
      <c r="K395" t="str">
        <f t="shared" si="60"/>
        <v>4804846208</v>
      </c>
      <c r="L395" t="str">
        <f>""</f>
        <v/>
      </c>
      <c r="M395" t="str">
        <f>"4844846281"</f>
        <v>4844846281</v>
      </c>
      <c r="N395" t="str">
        <f>""</f>
        <v/>
      </c>
      <c r="O395" t="s">
        <v>1463</v>
      </c>
      <c r="P395" t="s">
        <v>1477</v>
      </c>
      <c r="R395" t="s">
        <v>1465</v>
      </c>
      <c r="S395" t="s">
        <v>36</v>
      </c>
      <c r="T395" t="str">
        <f t="shared" si="62"/>
        <v>85257</v>
      </c>
      <c r="U395" t="str">
        <f>""</f>
        <v/>
      </c>
      <c r="V395" t="s">
        <v>1483</v>
      </c>
      <c r="X395" t="s">
        <v>1465</v>
      </c>
      <c r="Y395" t="s">
        <v>36</v>
      </c>
      <c r="Z395" t="str">
        <f>"85251"</f>
        <v>85251</v>
      </c>
      <c r="AA395" t="str">
        <f>"1719"</f>
        <v>1719</v>
      </c>
      <c r="AB395" t="s">
        <v>1466</v>
      </c>
    </row>
    <row r="396" spans="1:28" x14ac:dyDescent="0.25">
      <c r="A396">
        <v>4240</v>
      </c>
      <c r="B396" t="str">
        <f t="shared" si="59"/>
        <v>070248000</v>
      </c>
      <c r="C396" t="s">
        <v>1459</v>
      </c>
      <c r="D396">
        <v>5051</v>
      </c>
      <c r="E396" t="str">
        <f>"070248114"</f>
        <v>070248114</v>
      </c>
      <c r="F396" t="s">
        <v>1484</v>
      </c>
      <c r="G396" t="s">
        <v>42</v>
      </c>
      <c r="H396" t="s">
        <v>1460</v>
      </c>
      <c r="I396" t="s">
        <v>1461</v>
      </c>
      <c r="J396" t="s">
        <v>1467</v>
      </c>
      <c r="K396" t="str">
        <f t="shared" si="60"/>
        <v>4804846208</v>
      </c>
      <c r="L396" t="str">
        <f>""</f>
        <v/>
      </c>
      <c r="M396" t="str">
        <f t="shared" ref="M396:M403" si="63">"4804846281"</f>
        <v>4804846281</v>
      </c>
      <c r="N396" t="str">
        <f>""</f>
        <v/>
      </c>
      <c r="O396" t="s">
        <v>1463</v>
      </c>
      <c r="P396" t="s">
        <v>1464</v>
      </c>
      <c r="R396" t="s">
        <v>1465</v>
      </c>
      <c r="S396" t="s">
        <v>36</v>
      </c>
      <c r="T396" t="str">
        <f t="shared" si="62"/>
        <v>85257</v>
      </c>
      <c r="U396" t="str">
        <f>"2963"</f>
        <v>2963</v>
      </c>
      <c r="V396" t="s">
        <v>1485</v>
      </c>
      <c r="X396" t="s">
        <v>1465</v>
      </c>
      <c r="Y396" t="s">
        <v>36</v>
      </c>
      <c r="Z396" t="str">
        <f>"85257"</f>
        <v>85257</v>
      </c>
      <c r="AA396" t="str">
        <f>"2963"</f>
        <v>2963</v>
      </c>
      <c r="AB396" t="s">
        <v>1466</v>
      </c>
    </row>
    <row r="397" spans="1:28" x14ac:dyDescent="0.25">
      <c r="A397">
        <v>4240</v>
      </c>
      <c r="B397" t="str">
        <f t="shared" si="59"/>
        <v>070248000</v>
      </c>
      <c r="C397" t="s">
        <v>1459</v>
      </c>
      <c r="D397">
        <v>5052</v>
      </c>
      <c r="E397" t="str">
        <f>"070248115"</f>
        <v>070248115</v>
      </c>
      <c r="F397" t="s">
        <v>1486</v>
      </c>
      <c r="G397" t="s">
        <v>42</v>
      </c>
      <c r="H397" t="s">
        <v>1460</v>
      </c>
      <c r="I397" t="s">
        <v>1461</v>
      </c>
      <c r="J397" t="s">
        <v>1482</v>
      </c>
      <c r="K397" t="str">
        <f t="shared" si="60"/>
        <v>4804846208</v>
      </c>
      <c r="L397" t="str">
        <f>""</f>
        <v/>
      </c>
      <c r="M397" t="str">
        <f t="shared" si="63"/>
        <v>4804846281</v>
      </c>
      <c r="N397" t="str">
        <f>""</f>
        <v/>
      </c>
      <c r="O397" t="s">
        <v>1463</v>
      </c>
      <c r="P397" t="s">
        <v>1464</v>
      </c>
      <c r="R397" t="s">
        <v>1465</v>
      </c>
      <c r="S397" t="s">
        <v>36</v>
      </c>
      <c r="T397" t="str">
        <f t="shared" si="62"/>
        <v>85257</v>
      </c>
      <c r="U397" t="str">
        <f>"4610"</f>
        <v>4610</v>
      </c>
      <c r="V397" t="s">
        <v>1464</v>
      </c>
      <c r="X397" t="s">
        <v>1465</v>
      </c>
      <c r="Y397" t="s">
        <v>36</v>
      </c>
      <c r="Z397" t="str">
        <f>"85257"</f>
        <v>85257</v>
      </c>
      <c r="AA397" t="str">
        <f>"4610"</f>
        <v>4610</v>
      </c>
      <c r="AB397" t="s">
        <v>1466</v>
      </c>
    </row>
    <row r="398" spans="1:28" x14ac:dyDescent="0.25">
      <c r="A398">
        <v>4240</v>
      </c>
      <c r="B398" t="str">
        <f t="shared" si="59"/>
        <v>070248000</v>
      </c>
      <c r="C398" t="s">
        <v>1459</v>
      </c>
      <c r="D398">
        <v>5053</v>
      </c>
      <c r="E398" t="str">
        <f>"070248120"</f>
        <v>070248120</v>
      </c>
      <c r="F398" t="s">
        <v>1487</v>
      </c>
      <c r="G398" t="s">
        <v>42</v>
      </c>
      <c r="H398" t="s">
        <v>1460</v>
      </c>
      <c r="I398" t="s">
        <v>1461</v>
      </c>
      <c r="J398" t="s">
        <v>1482</v>
      </c>
      <c r="K398" t="str">
        <f t="shared" si="60"/>
        <v>4804846208</v>
      </c>
      <c r="L398" t="str">
        <f>""</f>
        <v/>
      </c>
      <c r="M398" t="str">
        <f t="shared" si="63"/>
        <v>4804846281</v>
      </c>
      <c r="N398" t="str">
        <f>""</f>
        <v/>
      </c>
      <c r="O398" t="s">
        <v>1463</v>
      </c>
      <c r="P398" t="s">
        <v>1464</v>
      </c>
      <c r="R398" t="s">
        <v>1465</v>
      </c>
      <c r="S398" t="s">
        <v>36</v>
      </c>
      <c r="T398" t="str">
        <f t="shared" si="62"/>
        <v>85257</v>
      </c>
      <c r="U398" t="str">
        <f>""</f>
        <v/>
      </c>
      <c r="V398" t="s">
        <v>1488</v>
      </c>
      <c r="X398" t="s">
        <v>1465</v>
      </c>
      <c r="Y398" t="s">
        <v>36</v>
      </c>
      <c r="Z398" t="str">
        <f>"85250"</f>
        <v>85250</v>
      </c>
      <c r="AA398" t="str">
        <f>"5611"</f>
        <v>5611</v>
      </c>
      <c r="AB398" t="s">
        <v>1466</v>
      </c>
    </row>
    <row r="399" spans="1:28" x14ac:dyDescent="0.25">
      <c r="A399">
        <v>4240</v>
      </c>
      <c r="B399" t="str">
        <f t="shared" si="59"/>
        <v>070248000</v>
      </c>
      <c r="C399" t="s">
        <v>1459</v>
      </c>
      <c r="D399">
        <v>5054</v>
      </c>
      <c r="E399" t="str">
        <f>"070248121"</f>
        <v>070248121</v>
      </c>
      <c r="F399" t="s">
        <v>1489</v>
      </c>
      <c r="G399" t="s">
        <v>42</v>
      </c>
      <c r="H399" t="s">
        <v>1460</v>
      </c>
      <c r="I399" t="s">
        <v>1461</v>
      </c>
      <c r="J399" t="s">
        <v>1467</v>
      </c>
      <c r="K399" t="str">
        <f t="shared" si="60"/>
        <v>4804846208</v>
      </c>
      <c r="L399" t="str">
        <f>""</f>
        <v/>
      </c>
      <c r="M399" t="str">
        <f t="shared" si="63"/>
        <v>4804846281</v>
      </c>
      <c r="N399" t="str">
        <f>""</f>
        <v/>
      </c>
      <c r="O399" t="s">
        <v>1463</v>
      </c>
      <c r="P399" t="s">
        <v>1464</v>
      </c>
      <c r="R399" t="s">
        <v>1465</v>
      </c>
      <c r="S399" t="s">
        <v>36</v>
      </c>
      <c r="T399" t="str">
        <f t="shared" si="62"/>
        <v>85257</v>
      </c>
      <c r="U399" t="str">
        <f>""</f>
        <v/>
      </c>
      <c r="V399" t="s">
        <v>1490</v>
      </c>
      <c r="X399" t="s">
        <v>1491</v>
      </c>
      <c r="Y399" t="s">
        <v>36</v>
      </c>
      <c r="Z399" t="str">
        <f>"85253"</f>
        <v>85253</v>
      </c>
      <c r="AA399" t="str">
        <f>"2246"</f>
        <v>2246</v>
      </c>
      <c r="AB399" t="s">
        <v>1466</v>
      </c>
    </row>
    <row r="400" spans="1:28" x14ac:dyDescent="0.25">
      <c r="A400">
        <v>4240</v>
      </c>
      <c r="B400" t="str">
        <f t="shared" si="59"/>
        <v>070248000</v>
      </c>
      <c r="C400" t="s">
        <v>1459</v>
      </c>
      <c r="D400">
        <v>5055</v>
      </c>
      <c r="E400" t="str">
        <f>"070248123"</f>
        <v>070248123</v>
      </c>
      <c r="F400" t="s">
        <v>1492</v>
      </c>
      <c r="G400" t="s">
        <v>42</v>
      </c>
      <c r="H400" t="s">
        <v>1460</v>
      </c>
      <c r="I400" t="s">
        <v>1461</v>
      </c>
      <c r="J400" t="s">
        <v>1467</v>
      </c>
      <c r="K400" t="str">
        <f t="shared" si="60"/>
        <v>4804846208</v>
      </c>
      <c r="L400" t="str">
        <f>""</f>
        <v/>
      </c>
      <c r="M400" t="str">
        <f t="shared" si="63"/>
        <v>4804846281</v>
      </c>
      <c r="N400" t="str">
        <f>""</f>
        <v/>
      </c>
      <c r="O400" t="s">
        <v>1463</v>
      </c>
      <c r="P400" t="s">
        <v>1464</v>
      </c>
      <c r="R400" t="s">
        <v>1465</v>
      </c>
      <c r="S400" t="s">
        <v>36</v>
      </c>
      <c r="T400" t="str">
        <f t="shared" si="62"/>
        <v>85257</v>
      </c>
      <c r="U400" t="str">
        <f>""</f>
        <v/>
      </c>
      <c r="V400" t="s">
        <v>1493</v>
      </c>
      <c r="X400" t="s">
        <v>1465</v>
      </c>
      <c r="Y400" t="s">
        <v>36</v>
      </c>
      <c r="Z400" t="str">
        <f>"85258"</f>
        <v>85258</v>
      </c>
      <c r="AA400" t="str">
        <f>"4962"</f>
        <v>4962</v>
      </c>
      <c r="AB400" t="s">
        <v>1466</v>
      </c>
    </row>
    <row r="401" spans="1:28" x14ac:dyDescent="0.25">
      <c r="A401">
        <v>4240</v>
      </c>
      <c r="B401" t="str">
        <f t="shared" si="59"/>
        <v>070248000</v>
      </c>
      <c r="C401" t="s">
        <v>1459</v>
      </c>
      <c r="D401">
        <v>5056</v>
      </c>
      <c r="E401" t="str">
        <f>"070248124"</f>
        <v>070248124</v>
      </c>
      <c r="F401" t="s">
        <v>1494</v>
      </c>
      <c r="G401" t="s">
        <v>42</v>
      </c>
      <c r="H401" t="s">
        <v>1460</v>
      </c>
      <c r="I401" t="s">
        <v>1461</v>
      </c>
      <c r="J401" t="s">
        <v>1467</v>
      </c>
      <c r="K401" t="str">
        <f t="shared" si="60"/>
        <v>4804846208</v>
      </c>
      <c r="L401" t="str">
        <f>""</f>
        <v/>
      </c>
      <c r="M401" t="str">
        <f t="shared" si="63"/>
        <v>4804846281</v>
      </c>
      <c r="N401" t="str">
        <f>""</f>
        <v/>
      </c>
      <c r="O401" t="s">
        <v>1463</v>
      </c>
      <c r="P401" t="s">
        <v>1464</v>
      </c>
      <c r="R401" t="s">
        <v>1465</v>
      </c>
      <c r="S401" t="s">
        <v>36</v>
      </c>
      <c r="T401" t="str">
        <f t="shared" si="62"/>
        <v>85257</v>
      </c>
      <c r="U401" t="str">
        <f>""</f>
        <v/>
      </c>
      <c r="V401" t="s">
        <v>1495</v>
      </c>
      <c r="X401" t="s">
        <v>1465</v>
      </c>
      <c r="Y401" t="s">
        <v>36</v>
      </c>
      <c r="Z401" t="str">
        <f>"85254"</f>
        <v>85254</v>
      </c>
      <c r="AA401" t="str">
        <f>"5010"</f>
        <v>5010</v>
      </c>
      <c r="AB401" t="s">
        <v>1466</v>
      </c>
    </row>
    <row r="402" spans="1:28" x14ac:dyDescent="0.25">
      <c r="A402">
        <v>4240</v>
      </c>
      <c r="B402" t="str">
        <f t="shared" si="59"/>
        <v>070248000</v>
      </c>
      <c r="C402" t="s">
        <v>1459</v>
      </c>
      <c r="D402">
        <v>5057</v>
      </c>
      <c r="E402" t="str">
        <f>"070248125"</f>
        <v>070248125</v>
      </c>
      <c r="F402" t="s">
        <v>1496</v>
      </c>
      <c r="G402" t="s">
        <v>42</v>
      </c>
      <c r="H402" t="s">
        <v>1460</v>
      </c>
      <c r="I402" t="s">
        <v>1461</v>
      </c>
      <c r="J402" t="s">
        <v>1467</v>
      </c>
      <c r="K402" t="str">
        <f t="shared" si="60"/>
        <v>4804846208</v>
      </c>
      <c r="L402" t="str">
        <f>""</f>
        <v/>
      </c>
      <c r="M402" t="str">
        <f t="shared" si="63"/>
        <v>4804846281</v>
      </c>
      <c r="N402" t="str">
        <f>""</f>
        <v/>
      </c>
      <c r="O402" t="s">
        <v>1463</v>
      </c>
      <c r="P402" t="s">
        <v>1464</v>
      </c>
      <c r="R402" t="s">
        <v>1465</v>
      </c>
      <c r="S402" t="s">
        <v>36</v>
      </c>
      <c r="T402" t="str">
        <f t="shared" si="62"/>
        <v>85257</v>
      </c>
      <c r="U402" t="str">
        <f>""</f>
        <v/>
      </c>
      <c r="V402" t="s">
        <v>1497</v>
      </c>
      <c r="X402" t="s">
        <v>1465</v>
      </c>
      <c r="Y402" t="s">
        <v>36</v>
      </c>
      <c r="Z402" t="str">
        <f>"85260"</f>
        <v>85260</v>
      </c>
      <c r="AA402" t="str">
        <f>""</f>
        <v/>
      </c>
      <c r="AB402" t="s">
        <v>1466</v>
      </c>
    </row>
    <row r="403" spans="1:28" x14ac:dyDescent="0.25">
      <c r="A403">
        <v>4240</v>
      </c>
      <c r="B403" t="str">
        <f t="shared" si="59"/>
        <v>070248000</v>
      </c>
      <c r="C403" t="s">
        <v>1459</v>
      </c>
      <c r="D403">
        <v>5059</v>
      </c>
      <c r="E403" t="str">
        <f>"070248127"</f>
        <v>070248127</v>
      </c>
      <c r="F403" t="s">
        <v>1498</v>
      </c>
      <c r="G403" t="s">
        <v>42</v>
      </c>
      <c r="H403" t="s">
        <v>1460</v>
      </c>
      <c r="I403" t="s">
        <v>1461</v>
      </c>
      <c r="J403" t="s">
        <v>1467</v>
      </c>
      <c r="K403" t="str">
        <f t="shared" si="60"/>
        <v>4804846208</v>
      </c>
      <c r="L403" t="str">
        <f>""</f>
        <v/>
      </c>
      <c r="M403" t="str">
        <f t="shared" si="63"/>
        <v>4804846281</v>
      </c>
      <c r="N403" t="str">
        <f>""</f>
        <v/>
      </c>
      <c r="O403" t="s">
        <v>1463</v>
      </c>
      <c r="P403" t="s">
        <v>1464</v>
      </c>
      <c r="R403" t="s">
        <v>1465</v>
      </c>
      <c r="S403" t="s">
        <v>36</v>
      </c>
      <c r="T403" t="str">
        <f t="shared" si="62"/>
        <v>85257</v>
      </c>
      <c r="U403" t="str">
        <f>""</f>
        <v/>
      </c>
      <c r="V403" t="s">
        <v>1499</v>
      </c>
      <c r="X403" t="s">
        <v>1465</v>
      </c>
      <c r="Y403" t="s">
        <v>36</v>
      </c>
      <c r="Z403" t="str">
        <f>"85260"</f>
        <v>85260</v>
      </c>
      <c r="AA403" t="str">
        <f>"9050"</f>
        <v>9050</v>
      </c>
      <c r="AB403" t="s">
        <v>1466</v>
      </c>
    </row>
    <row r="404" spans="1:28" x14ac:dyDescent="0.25">
      <c r="A404">
        <v>4240</v>
      </c>
      <c r="B404" t="str">
        <f t="shared" si="59"/>
        <v>070248000</v>
      </c>
      <c r="C404" t="s">
        <v>1459</v>
      </c>
      <c r="D404">
        <v>5061</v>
      </c>
      <c r="E404" t="str">
        <f>"070248164"</f>
        <v>070248164</v>
      </c>
      <c r="F404" t="s">
        <v>1500</v>
      </c>
      <c r="G404" t="s">
        <v>42</v>
      </c>
      <c r="H404" t="s">
        <v>1460</v>
      </c>
      <c r="I404" t="s">
        <v>1461</v>
      </c>
      <c r="J404" t="s">
        <v>1467</v>
      </c>
      <c r="K404" t="str">
        <f t="shared" si="60"/>
        <v>4804846208</v>
      </c>
      <c r="L404" t="str">
        <f>""</f>
        <v/>
      </c>
      <c r="M404" t="str">
        <f>"4894846281"</f>
        <v>4894846281</v>
      </c>
      <c r="N404" t="str">
        <f>""</f>
        <v/>
      </c>
      <c r="O404" t="s">
        <v>1463</v>
      </c>
      <c r="P404" t="s">
        <v>1464</v>
      </c>
      <c r="R404" t="s">
        <v>1465</v>
      </c>
      <c r="S404" t="s">
        <v>36</v>
      </c>
      <c r="T404" t="str">
        <f t="shared" si="62"/>
        <v>85257</v>
      </c>
      <c r="U404" t="str">
        <f>""</f>
        <v/>
      </c>
      <c r="V404" t="s">
        <v>1501</v>
      </c>
      <c r="X404" t="s">
        <v>1465</v>
      </c>
      <c r="Y404" t="s">
        <v>36</v>
      </c>
      <c r="Z404" t="str">
        <f>"85255"</f>
        <v>85255</v>
      </c>
      <c r="AA404" t="str">
        <f>"8600"</f>
        <v>8600</v>
      </c>
      <c r="AB404" t="s">
        <v>1466</v>
      </c>
    </row>
    <row r="405" spans="1:28" x14ac:dyDescent="0.25">
      <c r="A405">
        <v>4240</v>
      </c>
      <c r="B405" t="str">
        <f t="shared" si="59"/>
        <v>070248000</v>
      </c>
      <c r="C405" t="s">
        <v>1459</v>
      </c>
      <c r="D405">
        <v>5062</v>
      </c>
      <c r="E405" t="str">
        <f>"070248165"</f>
        <v>070248165</v>
      </c>
      <c r="F405" t="s">
        <v>1502</v>
      </c>
      <c r="G405" t="s">
        <v>42</v>
      </c>
      <c r="H405" t="s">
        <v>1460</v>
      </c>
      <c r="I405" t="s">
        <v>1461</v>
      </c>
      <c r="J405" t="s">
        <v>1467</v>
      </c>
      <c r="K405" t="str">
        <f t="shared" si="60"/>
        <v>4804846208</v>
      </c>
      <c r="L405" t="str">
        <f>""</f>
        <v/>
      </c>
      <c r="M405" t="str">
        <f t="shared" ref="M405:M416" si="64">"4804846281"</f>
        <v>4804846281</v>
      </c>
      <c r="N405" t="str">
        <f>""</f>
        <v/>
      </c>
      <c r="O405" t="s">
        <v>1463</v>
      </c>
      <c r="P405" t="s">
        <v>1464</v>
      </c>
      <c r="R405" t="s">
        <v>1465</v>
      </c>
      <c r="S405" t="s">
        <v>36</v>
      </c>
      <c r="T405" t="str">
        <f t="shared" si="62"/>
        <v>85257</v>
      </c>
      <c r="U405" t="str">
        <f>""</f>
        <v/>
      </c>
      <c r="V405" t="s">
        <v>1503</v>
      </c>
      <c r="X405" t="s">
        <v>964</v>
      </c>
      <c r="Y405" t="s">
        <v>36</v>
      </c>
      <c r="Z405" t="str">
        <f>"85018"</f>
        <v>85018</v>
      </c>
      <c r="AA405" t="str">
        <f>"6107"</f>
        <v>6107</v>
      </c>
      <c r="AB405" t="s">
        <v>1466</v>
      </c>
    </row>
    <row r="406" spans="1:28" x14ac:dyDescent="0.25">
      <c r="A406">
        <v>4240</v>
      </c>
      <c r="B406" t="str">
        <f t="shared" si="59"/>
        <v>070248000</v>
      </c>
      <c r="C406" t="s">
        <v>1459</v>
      </c>
      <c r="D406">
        <v>5063</v>
      </c>
      <c r="E406" t="str">
        <f>"070248166"</f>
        <v>070248166</v>
      </c>
      <c r="F406" t="s">
        <v>1504</v>
      </c>
      <c r="G406" t="s">
        <v>42</v>
      </c>
      <c r="H406" t="s">
        <v>1460</v>
      </c>
      <c r="I406" t="s">
        <v>1461</v>
      </c>
      <c r="J406" t="s">
        <v>1467</v>
      </c>
      <c r="K406" t="str">
        <f t="shared" si="60"/>
        <v>4804846208</v>
      </c>
      <c r="L406" t="str">
        <f>""</f>
        <v/>
      </c>
      <c r="M406" t="str">
        <f t="shared" si="64"/>
        <v>4804846281</v>
      </c>
      <c r="N406" t="str">
        <f>""</f>
        <v/>
      </c>
      <c r="O406" t="s">
        <v>1463</v>
      </c>
      <c r="P406" t="s">
        <v>1464</v>
      </c>
      <c r="R406" t="s">
        <v>1465</v>
      </c>
      <c r="S406" t="s">
        <v>36</v>
      </c>
      <c r="T406" t="str">
        <f t="shared" si="62"/>
        <v>85257</v>
      </c>
      <c r="U406" t="str">
        <f>""</f>
        <v/>
      </c>
      <c r="V406" t="s">
        <v>1505</v>
      </c>
      <c r="X406" t="s">
        <v>1465</v>
      </c>
      <c r="Y406" t="s">
        <v>36</v>
      </c>
      <c r="Z406" t="str">
        <f>"85259"</f>
        <v>85259</v>
      </c>
      <c r="AA406" t="str">
        <f>"4412"</f>
        <v>4412</v>
      </c>
      <c r="AB406" t="s">
        <v>1466</v>
      </c>
    </row>
    <row r="407" spans="1:28" x14ac:dyDescent="0.25">
      <c r="A407">
        <v>4240</v>
      </c>
      <c r="B407" t="str">
        <f t="shared" si="59"/>
        <v>070248000</v>
      </c>
      <c r="C407" t="s">
        <v>1459</v>
      </c>
      <c r="D407">
        <v>5064</v>
      </c>
      <c r="E407" t="str">
        <f>"070248167"</f>
        <v>070248167</v>
      </c>
      <c r="F407" t="s">
        <v>1506</v>
      </c>
      <c r="G407" t="s">
        <v>42</v>
      </c>
      <c r="H407" t="s">
        <v>1460</v>
      </c>
      <c r="I407" t="s">
        <v>1461</v>
      </c>
      <c r="J407" t="s">
        <v>1467</v>
      </c>
      <c r="K407" t="str">
        <f t="shared" si="60"/>
        <v>4804846208</v>
      </c>
      <c r="L407" t="str">
        <f>""</f>
        <v/>
      </c>
      <c r="M407" t="str">
        <f t="shared" si="64"/>
        <v>4804846281</v>
      </c>
      <c r="N407" t="str">
        <f>""</f>
        <v/>
      </c>
      <c r="O407" t="s">
        <v>1463</v>
      </c>
      <c r="P407" t="s">
        <v>1464</v>
      </c>
      <c r="R407" t="s">
        <v>1465</v>
      </c>
      <c r="S407" t="s">
        <v>36</v>
      </c>
      <c r="T407" t="str">
        <f t="shared" si="62"/>
        <v>85257</v>
      </c>
      <c r="U407" t="str">
        <f>""</f>
        <v/>
      </c>
      <c r="V407" t="s">
        <v>1507</v>
      </c>
      <c r="X407" t="s">
        <v>1465</v>
      </c>
      <c r="Y407" t="s">
        <v>36</v>
      </c>
      <c r="Z407" t="str">
        <f>"85250"</f>
        <v>85250</v>
      </c>
      <c r="AA407" t="str">
        <f>"6712"</f>
        <v>6712</v>
      </c>
      <c r="AB407" t="s">
        <v>1466</v>
      </c>
    </row>
    <row r="408" spans="1:28" x14ac:dyDescent="0.25">
      <c r="A408">
        <v>4240</v>
      </c>
      <c r="B408" t="str">
        <f t="shared" si="59"/>
        <v>070248000</v>
      </c>
      <c r="C408" t="s">
        <v>1459</v>
      </c>
      <c r="D408">
        <v>5065</v>
      </c>
      <c r="E408" t="str">
        <f>"070248169"</f>
        <v>070248169</v>
      </c>
      <c r="F408" t="s">
        <v>1508</v>
      </c>
      <c r="G408" t="s">
        <v>42</v>
      </c>
      <c r="H408" t="s">
        <v>1460</v>
      </c>
      <c r="I408" t="s">
        <v>1461</v>
      </c>
      <c r="J408" t="s">
        <v>1467</v>
      </c>
      <c r="K408" t="str">
        <f t="shared" si="60"/>
        <v>4804846208</v>
      </c>
      <c r="L408" t="str">
        <f>""</f>
        <v/>
      </c>
      <c r="M408" t="str">
        <f t="shared" si="64"/>
        <v>4804846281</v>
      </c>
      <c r="N408" t="str">
        <f>""</f>
        <v/>
      </c>
      <c r="O408" t="s">
        <v>1463</v>
      </c>
      <c r="P408" t="s">
        <v>1477</v>
      </c>
      <c r="R408" t="s">
        <v>1465</v>
      </c>
      <c r="S408" t="s">
        <v>36</v>
      </c>
      <c r="T408" t="str">
        <f t="shared" si="62"/>
        <v>85257</v>
      </c>
      <c r="U408" t="str">
        <f>""</f>
        <v/>
      </c>
      <c r="V408" t="s">
        <v>1509</v>
      </c>
      <c r="X408" t="s">
        <v>1465</v>
      </c>
      <c r="Y408" t="s">
        <v>36</v>
      </c>
      <c r="Z408" t="str">
        <f>"85254"</f>
        <v>85254</v>
      </c>
      <c r="AA408" t="str">
        <f>"5039"</f>
        <v>5039</v>
      </c>
      <c r="AB408" t="s">
        <v>1466</v>
      </c>
    </row>
    <row r="409" spans="1:28" x14ac:dyDescent="0.25">
      <c r="A409">
        <v>4240</v>
      </c>
      <c r="B409" t="str">
        <f t="shared" si="59"/>
        <v>070248000</v>
      </c>
      <c r="C409" t="s">
        <v>1459</v>
      </c>
      <c r="D409">
        <v>5066</v>
      </c>
      <c r="E409" t="str">
        <f>"070248292"</f>
        <v>070248292</v>
      </c>
      <c r="F409" t="s">
        <v>1510</v>
      </c>
      <c r="G409" t="s">
        <v>42</v>
      </c>
      <c r="H409" t="s">
        <v>1460</v>
      </c>
      <c r="I409" t="s">
        <v>1461</v>
      </c>
      <c r="J409" t="s">
        <v>1467</v>
      </c>
      <c r="K409" t="str">
        <f t="shared" si="60"/>
        <v>4804846208</v>
      </c>
      <c r="L409" t="str">
        <f>""</f>
        <v/>
      </c>
      <c r="M409" t="str">
        <f t="shared" si="64"/>
        <v>4804846281</v>
      </c>
      <c r="N409" t="str">
        <f>""</f>
        <v/>
      </c>
      <c r="O409" t="s">
        <v>1463</v>
      </c>
      <c r="P409" t="s">
        <v>1511</v>
      </c>
      <c r="R409" t="s">
        <v>1465</v>
      </c>
      <c r="S409" t="s">
        <v>36</v>
      </c>
      <c r="T409" t="str">
        <f t="shared" si="62"/>
        <v>85257</v>
      </c>
      <c r="U409" t="str">
        <f>""</f>
        <v/>
      </c>
      <c r="V409" t="s">
        <v>1512</v>
      </c>
      <c r="X409" t="s">
        <v>964</v>
      </c>
      <c r="Y409" t="s">
        <v>36</v>
      </c>
      <c r="Z409" t="str">
        <f>"85018"</f>
        <v>85018</v>
      </c>
      <c r="AA409" t="str">
        <f>""</f>
        <v/>
      </c>
      <c r="AB409" t="s">
        <v>1466</v>
      </c>
    </row>
    <row r="410" spans="1:28" x14ac:dyDescent="0.25">
      <c r="A410">
        <v>4240</v>
      </c>
      <c r="B410" t="str">
        <f t="shared" si="59"/>
        <v>070248000</v>
      </c>
      <c r="C410" t="s">
        <v>1459</v>
      </c>
      <c r="D410">
        <v>5067</v>
      </c>
      <c r="E410" t="str">
        <f>"070248293"</f>
        <v>070248293</v>
      </c>
      <c r="F410" t="s">
        <v>1513</v>
      </c>
      <c r="G410" t="s">
        <v>42</v>
      </c>
      <c r="H410" t="s">
        <v>1460</v>
      </c>
      <c r="I410" t="s">
        <v>1514</v>
      </c>
      <c r="J410" t="s">
        <v>1467</v>
      </c>
      <c r="K410" t="str">
        <f t="shared" si="60"/>
        <v>4804846208</v>
      </c>
      <c r="L410" t="str">
        <f>""</f>
        <v/>
      </c>
      <c r="M410" t="str">
        <f t="shared" si="64"/>
        <v>4804846281</v>
      </c>
      <c r="N410" t="str">
        <f>""</f>
        <v/>
      </c>
      <c r="O410" t="s">
        <v>1463</v>
      </c>
      <c r="P410" t="s">
        <v>1464</v>
      </c>
      <c r="R410" t="s">
        <v>1465</v>
      </c>
      <c r="S410" t="s">
        <v>36</v>
      </c>
      <c r="T410" t="str">
        <f t="shared" si="62"/>
        <v>85257</v>
      </c>
      <c r="U410" t="str">
        <f>"1502"</f>
        <v>1502</v>
      </c>
      <c r="V410" t="s">
        <v>1515</v>
      </c>
      <c r="X410" t="s">
        <v>1465</v>
      </c>
      <c r="Y410" t="s">
        <v>36</v>
      </c>
      <c r="Z410" t="str">
        <f>"85257"</f>
        <v>85257</v>
      </c>
      <c r="AA410" t="str">
        <f>"1502"</f>
        <v>1502</v>
      </c>
      <c r="AB410" t="s">
        <v>1466</v>
      </c>
    </row>
    <row r="411" spans="1:28" x14ac:dyDescent="0.25">
      <c r="A411">
        <v>4240</v>
      </c>
      <c r="B411" t="str">
        <f t="shared" si="59"/>
        <v>070248000</v>
      </c>
      <c r="C411" t="s">
        <v>1459</v>
      </c>
      <c r="D411">
        <v>5068</v>
      </c>
      <c r="E411" t="str">
        <f>"070248294"</f>
        <v>070248294</v>
      </c>
      <c r="F411" t="s">
        <v>1516</v>
      </c>
      <c r="G411" t="s">
        <v>42</v>
      </c>
      <c r="H411" t="s">
        <v>1460</v>
      </c>
      <c r="I411" t="s">
        <v>1461</v>
      </c>
      <c r="J411" t="s">
        <v>1467</v>
      </c>
      <c r="K411" t="str">
        <f t="shared" si="60"/>
        <v>4804846208</v>
      </c>
      <c r="L411" t="str">
        <f>""</f>
        <v/>
      </c>
      <c r="M411" t="str">
        <f t="shared" si="64"/>
        <v>4804846281</v>
      </c>
      <c r="N411" t="str">
        <f>""</f>
        <v/>
      </c>
      <c r="O411" t="s">
        <v>1463</v>
      </c>
      <c r="P411" t="s">
        <v>1464</v>
      </c>
      <c r="R411" t="s">
        <v>1465</v>
      </c>
      <c r="S411" t="s">
        <v>36</v>
      </c>
      <c r="T411" t="str">
        <f t="shared" si="62"/>
        <v>85257</v>
      </c>
      <c r="U411" t="str">
        <f>""</f>
        <v/>
      </c>
      <c r="V411" t="s">
        <v>1517</v>
      </c>
      <c r="X411" t="s">
        <v>1465</v>
      </c>
      <c r="Y411" t="s">
        <v>36</v>
      </c>
      <c r="Z411" t="str">
        <f>"85250"</f>
        <v>85250</v>
      </c>
      <c r="AA411" t="str">
        <f>""</f>
        <v/>
      </c>
      <c r="AB411" t="s">
        <v>1466</v>
      </c>
    </row>
    <row r="412" spans="1:28" x14ac:dyDescent="0.25">
      <c r="A412">
        <v>4240</v>
      </c>
      <c r="B412" t="str">
        <f t="shared" si="59"/>
        <v>070248000</v>
      </c>
      <c r="C412" t="s">
        <v>1459</v>
      </c>
      <c r="D412">
        <v>5069</v>
      </c>
      <c r="E412" t="str">
        <f>"070248295"</f>
        <v>070248295</v>
      </c>
      <c r="F412" t="s">
        <v>1518</v>
      </c>
      <c r="G412" t="s">
        <v>42</v>
      </c>
      <c r="H412" t="s">
        <v>1460</v>
      </c>
      <c r="I412" t="s">
        <v>1461</v>
      </c>
      <c r="J412" t="s">
        <v>1482</v>
      </c>
      <c r="K412" t="str">
        <f t="shared" si="60"/>
        <v>4804846208</v>
      </c>
      <c r="L412" t="str">
        <f>""</f>
        <v/>
      </c>
      <c r="M412" t="str">
        <f t="shared" si="64"/>
        <v>4804846281</v>
      </c>
      <c r="N412" t="str">
        <f>""</f>
        <v/>
      </c>
      <c r="O412" t="s">
        <v>1463</v>
      </c>
      <c r="P412" t="s">
        <v>1464</v>
      </c>
      <c r="R412" t="s">
        <v>1465</v>
      </c>
      <c r="S412" t="s">
        <v>36</v>
      </c>
      <c r="T412" t="str">
        <f t="shared" si="62"/>
        <v>85257</v>
      </c>
      <c r="U412" t="str">
        <f>""</f>
        <v/>
      </c>
      <c r="V412" t="s">
        <v>1519</v>
      </c>
      <c r="X412" t="s">
        <v>1465</v>
      </c>
      <c r="Y412" t="s">
        <v>36</v>
      </c>
      <c r="Z412" t="str">
        <f>"85253"</f>
        <v>85253</v>
      </c>
      <c r="AA412" t="str">
        <f>""</f>
        <v/>
      </c>
      <c r="AB412" t="s">
        <v>1466</v>
      </c>
    </row>
    <row r="413" spans="1:28" x14ac:dyDescent="0.25">
      <c r="A413">
        <v>4240</v>
      </c>
      <c r="B413" t="str">
        <f t="shared" si="59"/>
        <v>070248000</v>
      </c>
      <c r="C413" t="s">
        <v>1459</v>
      </c>
      <c r="D413">
        <v>5070</v>
      </c>
      <c r="E413" t="str">
        <f>"070248296"</f>
        <v>070248296</v>
      </c>
      <c r="F413" t="s">
        <v>1520</v>
      </c>
      <c r="G413" t="s">
        <v>42</v>
      </c>
      <c r="H413" t="s">
        <v>1460</v>
      </c>
      <c r="I413" t="s">
        <v>1461</v>
      </c>
      <c r="J413" t="s">
        <v>1467</v>
      </c>
      <c r="K413" t="str">
        <f t="shared" si="60"/>
        <v>4804846208</v>
      </c>
      <c r="L413" t="str">
        <f>""</f>
        <v/>
      </c>
      <c r="M413" t="str">
        <f t="shared" si="64"/>
        <v>4804846281</v>
      </c>
      <c r="N413" t="str">
        <f>""</f>
        <v/>
      </c>
      <c r="O413" t="s">
        <v>1463</v>
      </c>
      <c r="P413" t="s">
        <v>1464</v>
      </c>
      <c r="R413" t="s">
        <v>1465</v>
      </c>
      <c r="S413" t="s">
        <v>36</v>
      </c>
      <c r="T413" t="str">
        <f t="shared" si="62"/>
        <v>85257</v>
      </c>
      <c r="U413" t="str">
        <f>""</f>
        <v/>
      </c>
      <c r="V413" t="s">
        <v>1521</v>
      </c>
      <c r="X413" t="s">
        <v>1465</v>
      </c>
      <c r="Y413" t="s">
        <v>36</v>
      </c>
      <c r="Z413" t="str">
        <f>"85250"</f>
        <v>85250</v>
      </c>
      <c r="AA413" t="str">
        <f>""</f>
        <v/>
      </c>
      <c r="AB413" t="s">
        <v>1466</v>
      </c>
    </row>
    <row r="414" spans="1:28" x14ac:dyDescent="0.25">
      <c r="A414">
        <v>4240</v>
      </c>
      <c r="B414" t="str">
        <f t="shared" si="59"/>
        <v>070248000</v>
      </c>
      <c r="C414" t="s">
        <v>1459</v>
      </c>
      <c r="D414">
        <v>6009</v>
      </c>
      <c r="E414" t="str">
        <f>"070248128"</f>
        <v>070248128</v>
      </c>
      <c r="F414" t="s">
        <v>1522</v>
      </c>
      <c r="G414" t="s">
        <v>42</v>
      </c>
      <c r="H414" t="s">
        <v>1460</v>
      </c>
      <c r="I414" t="s">
        <v>1461</v>
      </c>
      <c r="J414" t="s">
        <v>1467</v>
      </c>
      <c r="K414" t="str">
        <f t="shared" si="60"/>
        <v>4804846208</v>
      </c>
      <c r="L414" t="str">
        <f>""</f>
        <v/>
      </c>
      <c r="M414" t="str">
        <f t="shared" si="64"/>
        <v>4804846281</v>
      </c>
      <c r="N414" t="str">
        <f>""</f>
        <v/>
      </c>
      <c r="O414" t="s">
        <v>1463</v>
      </c>
      <c r="P414" t="s">
        <v>1523</v>
      </c>
      <c r="R414" t="s">
        <v>1465</v>
      </c>
      <c r="S414" t="s">
        <v>36</v>
      </c>
      <c r="T414" t="str">
        <f t="shared" si="62"/>
        <v>85257</v>
      </c>
      <c r="U414" t="str">
        <f>""</f>
        <v/>
      </c>
      <c r="V414" t="s">
        <v>1524</v>
      </c>
      <c r="X414" t="s">
        <v>1465</v>
      </c>
      <c r="Y414" t="s">
        <v>36</v>
      </c>
      <c r="Z414" t="str">
        <f>"85259"</f>
        <v>85259</v>
      </c>
      <c r="AA414" t="str">
        <f>"3473"</f>
        <v>3473</v>
      </c>
      <c r="AB414" t="s">
        <v>1466</v>
      </c>
    </row>
    <row r="415" spans="1:28" x14ac:dyDescent="0.25">
      <c r="A415">
        <v>4240</v>
      </c>
      <c r="B415" t="str">
        <f t="shared" si="59"/>
        <v>070248000</v>
      </c>
      <c r="C415" t="s">
        <v>1459</v>
      </c>
      <c r="D415">
        <v>6010</v>
      </c>
      <c r="E415" t="str">
        <f>"070248129"</f>
        <v>070248129</v>
      </c>
      <c r="F415" t="s">
        <v>1525</v>
      </c>
      <c r="G415" t="s">
        <v>42</v>
      </c>
      <c r="H415" t="s">
        <v>1460</v>
      </c>
      <c r="I415" t="s">
        <v>1461</v>
      </c>
      <c r="J415" t="s">
        <v>1467</v>
      </c>
      <c r="K415" t="str">
        <f t="shared" si="60"/>
        <v>4804846208</v>
      </c>
      <c r="L415" t="str">
        <f>""</f>
        <v/>
      </c>
      <c r="M415" t="str">
        <f t="shared" si="64"/>
        <v>4804846281</v>
      </c>
      <c r="N415" t="str">
        <f>""</f>
        <v/>
      </c>
      <c r="O415" t="s">
        <v>1463</v>
      </c>
      <c r="P415" t="s">
        <v>1464</v>
      </c>
      <c r="R415" t="s">
        <v>1465</v>
      </c>
      <c r="S415" t="s">
        <v>36</v>
      </c>
      <c r="T415" t="str">
        <f t="shared" si="62"/>
        <v>85257</v>
      </c>
      <c r="U415" t="str">
        <f>""</f>
        <v/>
      </c>
      <c r="V415" t="s">
        <v>1526</v>
      </c>
      <c r="X415" t="s">
        <v>1465</v>
      </c>
      <c r="Y415" t="s">
        <v>36</v>
      </c>
      <c r="Z415" t="str">
        <f>"85255"</f>
        <v>85255</v>
      </c>
      <c r="AA415" t="str">
        <f>"8600"</f>
        <v>8600</v>
      </c>
      <c r="AB415" t="s">
        <v>1466</v>
      </c>
    </row>
    <row r="416" spans="1:28" x14ac:dyDescent="0.25">
      <c r="A416">
        <v>4240</v>
      </c>
      <c r="B416" t="str">
        <f t="shared" si="59"/>
        <v>070248000</v>
      </c>
      <c r="C416" t="s">
        <v>1459</v>
      </c>
      <c r="D416">
        <v>79639</v>
      </c>
      <c r="E416" t="str">
        <f>"070248130"</f>
        <v>070248130</v>
      </c>
      <c r="F416" t="s">
        <v>1527</v>
      </c>
      <c r="G416" t="s">
        <v>42</v>
      </c>
      <c r="H416" t="s">
        <v>1460</v>
      </c>
      <c r="I416" t="s">
        <v>1461</v>
      </c>
      <c r="J416" t="s">
        <v>1467</v>
      </c>
      <c r="K416" t="str">
        <f t="shared" si="60"/>
        <v>4804846208</v>
      </c>
      <c r="L416" t="str">
        <f>""</f>
        <v/>
      </c>
      <c r="M416" t="str">
        <f t="shared" si="64"/>
        <v>4804846281</v>
      </c>
      <c r="N416" t="str">
        <f>""</f>
        <v/>
      </c>
      <c r="O416" t="s">
        <v>1463</v>
      </c>
      <c r="P416" t="s">
        <v>1464</v>
      </c>
      <c r="R416" t="s">
        <v>1465</v>
      </c>
      <c r="S416" t="s">
        <v>36</v>
      </c>
      <c r="T416" t="str">
        <f t="shared" si="62"/>
        <v>85257</v>
      </c>
      <c r="U416" t="str">
        <f>""</f>
        <v/>
      </c>
      <c r="V416" t="s">
        <v>1528</v>
      </c>
      <c r="X416" t="s">
        <v>1465</v>
      </c>
      <c r="Y416" t="s">
        <v>36</v>
      </c>
      <c r="Z416" t="str">
        <f>"85255"</f>
        <v>85255</v>
      </c>
      <c r="AA416" t="str">
        <f>"3300"</f>
        <v>3300</v>
      </c>
      <c r="AB416" t="s">
        <v>1466</v>
      </c>
    </row>
    <row r="417" spans="1:28" x14ac:dyDescent="0.25">
      <c r="A417">
        <v>4241</v>
      </c>
      <c r="B417" t="str">
        <f t="shared" ref="B417:B461" si="65">"070269000"</f>
        <v>070269000</v>
      </c>
      <c r="C417" t="s">
        <v>1529</v>
      </c>
      <c r="D417">
        <v>0</v>
      </c>
      <c r="E417" t="str">
        <f>""</f>
        <v/>
      </c>
      <c r="G417" t="s">
        <v>29</v>
      </c>
      <c r="H417" t="s">
        <v>1530</v>
      </c>
      <c r="I417" t="s">
        <v>1531</v>
      </c>
      <c r="J417" t="s">
        <v>1532</v>
      </c>
      <c r="K417" t="str">
        <f t="shared" ref="K417:K461" si="66">"6024492274"</f>
        <v>6024492274</v>
      </c>
      <c r="L417" t="str">
        <f>""</f>
        <v/>
      </c>
      <c r="M417" t="str">
        <f>""</f>
        <v/>
      </c>
      <c r="N417" t="str">
        <f>""</f>
        <v/>
      </c>
      <c r="O417" t="s">
        <v>1533</v>
      </c>
      <c r="P417" t="s">
        <v>1534</v>
      </c>
      <c r="R417" t="s">
        <v>964</v>
      </c>
      <c r="S417" t="s">
        <v>36</v>
      </c>
      <c r="T417" t="str">
        <f t="shared" ref="T417:T461" si="67">"85050"</f>
        <v>85050</v>
      </c>
      <c r="U417" t="str">
        <f>""</f>
        <v/>
      </c>
      <c r="V417" t="s">
        <v>1534</v>
      </c>
      <c r="X417" t="s">
        <v>964</v>
      </c>
      <c r="Y417" t="s">
        <v>36</v>
      </c>
      <c r="Z417" t="str">
        <f>"85050"</f>
        <v>85050</v>
      </c>
      <c r="AA417" t="str">
        <f>""</f>
        <v/>
      </c>
      <c r="AB417" t="s">
        <v>282</v>
      </c>
    </row>
    <row r="418" spans="1:28" x14ac:dyDescent="0.25">
      <c r="A418">
        <v>4241</v>
      </c>
      <c r="B418" t="str">
        <f t="shared" si="65"/>
        <v>070269000</v>
      </c>
      <c r="C418" t="s">
        <v>1529</v>
      </c>
      <c r="D418">
        <v>5071</v>
      </c>
      <c r="E418" t="str">
        <f>"070269055"</f>
        <v>070269055</v>
      </c>
      <c r="F418" t="s">
        <v>1535</v>
      </c>
      <c r="G418" t="s">
        <v>42</v>
      </c>
      <c r="H418" t="s">
        <v>1536</v>
      </c>
      <c r="I418" t="s">
        <v>1537</v>
      </c>
      <c r="J418" t="s">
        <v>926</v>
      </c>
      <c r="K418" t="str">
        <f t="shared" si="66"/>
        <v>6024492274</v>
      </c>
      <c r="L418" t="str">
        <f>""</f>
        <v/>
      </c>
      <c r="M418" t="str">
        <f>""</f>
        <v/>
      </c>
      <c r="N418" t="str">
        <f>""</f>
        <v/>
      </c>
      <c r="O418" t="s">
        <v>1538</v>
      </c>
      <c r="P418" t="s">
        <v>1534</v>
      </c>
      <c r="R418" t="s">
        <v>964</v>
      </c>
      <c r="S418" t="s">
        <v>36</v>
      </c>
      <c r="T418" t="str">
        <f t="shared" si="67"/>
        <v>85050</v>
      </c>
      <c r="U418" t="str">
        <f>""</f>
        <v/>
      </c>
      <c r="V418" t="s">
        <v>1539</v>
      </c>
      <c r="X418" t="s">
        <v>964</v>
      </c>
      <c r="Y418" t="s">
        <v>36</v>
      </c>
      <c r="Z418" t="str">
        <f>"85028"</f>
        <v>85028</v>
      </c>
      <c r="AA418" t="str">
        <f>""</f>
        <v/>
      </c>
      <c r="AB418" t="s">
        <v>282</v>
      </c>
    </row>
    <row r="419" spans="1:28" x14ac:dyDescent="0.25">
      <c r="A419">
        <v>4241</v>
      </c>
      <c r="B419" t="str">
        <f t="shared" si="65"/>
        <v>070269000</v>
      </c>
      <c r="C419" t="s">
        <v>1529</v>
      </c>
      <c r="D419">
        <v>5073</v>
      </c>
      <c r="E419" t="str">
        <f>"070269110"</f>
        <v>070269110</v>
      </c>
      <c r="F419" t="s">
        <v>1540</v>
      </c>
      <c r="G419" t="s">
        <v>42</v>
      </c>
      <c r="H419" t="s">
        <v>1541</v>
      </c>
      <c r="I419" t="s">
        <v>1542</v>
      </c>
      <c r="J419" t="s">
        <v>926</v>
      </c>
      <c r="K419" t="str">
        <f t="shared" si="66"/>
        <v>6024492274</v>
      </c>
      <c r="L419" t="str">
        <f>""</f>
        <v/>
      </c>
      <c r="M419" t="str">
        <f>""</f>
        <v/>
      </c>
      <c r="N419" t="str">
        <f>""</f>
        <v/>
      </c>
      <c r="O419" t="s">
        <v>1543</v>
      </c>
      <c r="P419" t="s">
        <v>1544</v>
      </c>
      <c r="R419" t="s">
        <v>964</v>
      </c>
      <c r="S419" t="s">
        <v>36</v>
      </c>
      <c r="T419" t="str">
        <f t="shared" si="67"/>
        <v>85050</v>
      </c>
      <c r="U419" t="str">
        <f>""</f>
        <v/>
      </c>
      <c r="V419" t="s">
        <v>1545</v>
      </c>
      <c r="X419" t="s">
        <v>964</v>
      </c>
      <c r="Y419" t="s">
        <v>36</v>
      </c>
      <c r="Z419" t="str">
        <f>"85032"</f>
        <v>85032</v>
      </c>
      <c r="AA419" t="str">
        <f>""</f>
        <v/>
      </c>
      <c r="AB419" t="s">
        <v>282</v>
      </c>
    </row>
    <row r="420" spans="1:28" x14ac:dyDescent="0.25">
      <c r="A420">
        <v>4241</v>
      </c>
      <c r="B420" t="str">
        <f t="shared" si="65"/>
        <v>070269000</v>
      </c>
      <c r="C420" t="s">
        <v>1529</v>
      </c>
      <c r="D420">
        <v>5074</v>
      </c>
      <c r="E420" t="str">
        <f>"070269115"</f>
        <v>070269115</v>
      </c>
      <c r="F420" t="s">
        <v>1546</v>
      </c>
      <c r="G420" t="s">
        <v>42</v>
      </c>
      <c r="H420" t="s">
        <v>586</v>
      </c>
      <c r="I420" t="s">
        <v>1547</v>
      </c>
      <c r="J420" t="s">
        <v>926</v>
      </c>
      <c r="K420" t="str">
        <f t="shared" si="66"/>
        <v>6024492274</v>
      </c>
      <c r="L420" t="str">
        <f>""</f>
        <v/>
      </c>
      <c r="M420" t="str">
        <f>""</f>
        <v/>
      </c>
      <c r="N420" t="str">
        <f>""</f>
        <v/>
      </c>
      <c r="O420" t="s">
        <v>1543</v>
      </c>
      <c r="P420" t="s">
        <v>1534</v>
      </c>
      <c r="R420" t="s">
        <v>964</v>
      </c>
      <c r="S420" t="s">
        <v>36</v>
      </c>
      <c r="T420" t="str">
        <f t="shared" si="67"/>
        <v>85050</v>
      </c>
      <c r="U420" t="str">
        <f>""</f>
        <v/>
      </c>
      <c r="V420" t="s">
        <v>1548</v>
      </c>
      <c r="X420" t="s">
        <v>964</v>
      </c>
      <c r="Y420" t="s">
        <v>36</v>
      </c>
      <c r="Z420" t="str">
        <f>"85032"</f>
        <v>85032</v>
      </c>
      <c r="AA420" t="str">
        <f>""</f>
        <v/>
      </c>
      <c r="AB420" t="s">
        <v>282</v>
      </c>
    </row>
    <row r="421" spans="1:28" x14ac:dyDescent="0.25">
      <c r="A421">
        <v>4241</v>
      </c>
      <c r="B421" t="str">
        <f t="shared" si="65"/>
        <v>070269000</v>
      </c>
      <c r="C421" t="s">
        <v>1529</v>
      </c>
      <c r="D421">
        <v>5077</v>
      </c>
      <c r="E421" t="str">
        <f>"070269122"</f>
        <v>070269122</v>
      </c>
      <c r="F421" t="s">
        <v>1549</v>
      </c>
      <c r="G421" t="s">
        <v>42</v>
      </c>
      <c r="H421" t="s">
        <v>1409</v>
      </c>
      <c r="I421" t="s">
        <v>1550</v>
      </c>
      <c r="J421" t="s">
        <v>926</v>
      </c>
      <c r="K421" t="str">
        <f t="shared" si="66"/>
        <v>6024492274</v>
      </c>
      <c r="L421" t="str">
        <f>""</f>
        <v/>
      </c>
      <c r="M421" t="str">
        <f>""</f>
        <v/>
      </c>
      <c r="N421" t="str">
        <f>""</f>
        <v/>
      </c>
      <c r="O421" t="s">
        <v>1543</v>
      </c>
      <c r="P421" t="s">
        <v>1534</v>
      </c>
      <c r="R421" t="s">
        <v>964</v>
      </c>
      <c r="S421" t="s">
        <v>36</v>
      </c>
      <c r="T421" t="str">
        <f t="shared" si="67"/>
        <v>85050</v>
      </c>
      <c r="U421" t="str">
        <f>""</f>
        <v/>
      </c>
      <c r="V421" t="s">
        <v>1551</v>
      </c>
      <c r="X421" t="s">
        <v>1465</v>
      </c>
      <c r="Y421" t="s">
        <v>36</v>
      </c>
      <c r="Z421" t="str">
        <f>"85254"</f>
        <v>85254</v>
      </c>
      <c r="AA421" t="str">
        <f>""</f>
        <v/>
      </c>
      <c r="AB421" t="s">
        <v>282</v>
      </c>
    </row>
    <row r="422" spans="1:28" x14ac:dyDescent="0.25">
      <c r="A422">
        <v>4241</v>
      </c>
      <c r="B422" t="str">
        <f t="shared" si="65"/>
        <v>070269000</v>
      </c>
      <c r="C422" t="s">
        <v>1529</v>
      </c>
      <c r="D422">
        <v>5078</v>
      </c>
      <c r="E422" t="str">
        <f>"070269123"</f>
        <v>070269123</v>
      </c>
      <c r="F422" t="s">
        <v>1552</v>
      </c>
      <c r="G422" t="s">
        <v>42</v>
      </c>
      <c r="H422" t="s">
        <v>1553</v>
      </c>
      <c r="I422" t="s">
        <v>1554</v>
      </c>
      <c r="J422" t="s">
        <v>926</v>
      </c>
      <c r="K422" t="str">
        <f t="shared" si="66"/>
        <v>6024492274</v>
      </c>
      <c r="L422" t="str">
        <f>""</f>
        <v/>
      </c>
      <c r="M422" t="str">
        <f>""</f>
        <v/>
      </c>
      <c r="N422" t="str">
        <f>""</f>
        <v/>
      </c>
      <c r="O422" t="s">
        <v>1543</v>
      </c>
      <c r="P422" t="s">
        <v>1534</v>
      </c>
      <c r="R422" t="s">
        <v>964</v>
      </c>
      <c r="S422" t="s">
        <v>36</v>
      </c>
      <c r="T422" t="str">
        <f t="shared" si="67"/>
        <v>85050</v>
      </c>
      <c r="U422" t="str">
        <f>""</f>
        <v/>
      </c>
      <c r="V422" t="s">
        <v>1555</v>
      </c>
      <c r="X422" t="s">
        <v>964</v>
      </c>
      <c r="Y422" t="s">
        <v>36</v>
      </c>
      <c r="Z422" t="str">
        <f>"85022"</f>
        <v>85022</v>
      </c>
      <c r="AA422" t="str">
        <f>""</f>
        <v/>
      </c>
      <c r="AB422" t="s">
        <v>282</v>
      </c>
    </row>
    <row r="423" spans="1:28" x14ac:dyDescent="0.25">
      <c r="A423">
        <v>4241</v>
      </c>
      <c r="B423" t="str">
        <f t="shared" si="65"/>
        <v>070269000</v>
      </c>
      <c r="C423" t="s">
        <v>1529</v>
      </c>
      <c r="D423">
        <v>5079</v>
      </c>
      <c r="E423" t="str">
        <f>"070269124"</f>
        <v>070269124</v>
      </c>
      <c r="F423" t="s">
        <v>1556</v>
      </c>
      <c r="G423" t="s">
        <v>42</v>
      </c>
      <c r="H423" t="s">
        <v>1557</v>
      </c>
      <c r="I423" t="s">
        <v>1558</v>
      </c>
      <c r="J423" t="s">
        <v>926</v>
      </c>
      <c r="K423" t="str">
        <f t="shared" si="66"/>
        <v>6024492274</v>
      </c>
      <c r="L423" t="str">
        <f>""</f>
        <v/>
      </c>
      <c r="M423" t="str">
        <f>""</f>
        <v/>
      </c>
      <c r="N423" t="str">
        <f>""</f>
        <v/>
      </c>
      <c r="O423" t="s">
        <v>1543</v>
      </c>
      <c r="P423" t="s">
        <v>1534</v>
      </c>
      <c r="R423" t="s">
        <v>964</v>
      </c>
      <c r="S423" t="s">
        <v>36</v>
      </c>
      <c r="T423" t="str">
        <f t="shared" si="67"/>
        <v>85050</v>
      </c>
      <c r="U423" t="str">
        <f>""</f>
        <v/>
      </c>
      <c r="V423" t="s">
        <v>1559</v>
      </c>
      <c r="X423" t="s">
        <v>964</v>
      </c>
      <c r="Y423" t="s">
        <v>36</v>
      </c>
      <c r="Z423" t="str">
        <f>"85022"</f>
        <v>85022</v>
      </c>
      <c r="AA423" t="str">
        <f>""</f>
        <v/>
      </c>
      <c r="AB423" t="s">
        <v>282</v>
      </c>
    </row>
    <row r="424" spans="1:28" x14ac:dyDescent="0.25">
      <c r="A424">
        <v>4241</v>
      </c>
      <c r="B424" t="str">
        <f t="shared" si="65"/>
        <v>070269000</v>
      </c>
      <c r="C424" t="s">
        <v>1529</v>
      </c>
      <c r="D424">
        <v>5080</v>
      </c>
      <c r="E424" t="str">
        <f>"070269125"</f>
        <v>070269125</v>
      </c>
      <c r="F424" t="s">
        <v>1560</v>
      </c>
      <c r="G424" t="s">
        <v>42</v>
      </c>
      <c r="H424" t="s">
        <v>1561</v>
      </c>
      <c r="I424" t="s">
        <v>1562</v>
      </c>
      <c r="J424" t="s">
        <v>926</v>
      </c>
      <c r="K424" t="str">
        <f t="shared" si="66"/>
        <v>6024492274</v>
      </c>
      <c r="L424" t="str">
        <f>""</f>
        <v/>
      </c>
      <c r="M424" t="str">
        <f>""</f>
        <v/>
      </c>
      <c r="N424" t="str">
        <f>""</f>
        <v/>
      </c>
      <c r="O424" t="s">
        <v>1543</v>
      </c>
      <c r="P424" t="s">
        <v>1534</v>
      </c>
      <c r="R424" t="s">
        <v>964</v>
      </c>
      <c r="S424" t="s">
        <v>36</v>
      </c>
      <c r="T424" t="str">
        <f t="shared" si="67"/>
        <v>85050</v>
      </c>
      <c r="U424" t="str">
        <f>""</f>
        <v/>
      </c>
      <c r="V424" t="s">
        <v>1563</v>
      </c>
      <c r="X424" t="s">
        <v>964</v>
      </c>
      <c r="Y424" t="s">
        <v>36</v>
      </c>
      <c r="Z424" t="str">
        <f>"85028"</f>
        <v>85028</v>
      </c>
      <c r="AA424" t="str">
        <f>""</f>
        <v/>
      </c>
      <c r="AB424" t="s">
        <v>282</v>
      </c>
    </row>
    <row r="425" spans="1:28" x14ac:dyDescent="0.25">
      <c r="A425">
        <v>4241</v>
      </c>
      <c r="B425" t="str">
        <f t="shared" si="65"/>
        <v>070269000</v>
      </c>
      <c r="C425" t="s">
        <v>1529</v>
      </c>
      <c r="D425">
        <v>5081</v>
      </c>
      <c r="E425" t="str">
        <f>"070269126"</f>
        <v>070269126</v>
      </c>
      <c r="F425" t="s">
        <v>1564</v>
      </c>
      <c r="G425" t="s">
        <v>42</v>
      </c>
      <c r="H425" t="s">
        <v>1565</v>
      </c>
      <c r="I425" t="s">
        <v>1566</v>
      </c>
      <c r="J425" t="s">
        <v>926</v>
      </c>
      <c r="K425" t="str">
        <f t="shared" si="66"/>
        <v>6024492274</v>
      </c>
      <c r="L425" t="str">
        <f>""</f>
        <v/>
      </c>
      <c r="M425" t="str">
        <f>""</f>
        <v/>
      </c>
      <c r="N425" t="str">
        <f>""</f>
        <v/>
      </c>
      <c r="O425" t="s">
        <v>1543</v>
      </c>
      <c r="P425" t="s">
        <v>1534</v>
      </c>
      <c r="R425" t="s">
        <v>964</v>
      </c>
      <c r="S425" t="s">
        <v>36</v>
      </c>
      <c r="T425" t="str">
        <f t="shared" si="67"/>
        <v>85050</v>
      </c>
      <c r="U425" t="str">
        <f>""</f>
        <v/>
      </c>
      <c r="V425" t="s">
        <v>1567</v>
      </c>
      <c r="X425" t="s">
        <v>964</v>
      </c>
      <c r="Y425" t="s">
        <v>36</v>
      </c>
      <c r="Z425" t="str">
        <f>"85050"</f>
        <v>85050</v>
      </c>
      <c r="AA425" t="str">
        <f>""</f>
        <v/>
      </c>
      <c r="AB425" t="s">
        <v>282</v>
      </c>
    </row>
    <row r="426" spans="1:28" x14ac:dyDescent="0.25">
      <c r="A426">
        <v>4241</v>
      </c>
      <c r="B426" t="str">
        <f t="shared" si="65"/>
        <v>070269000</v>
      </c>
      <c r="C426" t="s">
        <v>1529</v>
      </c>
      <c r="D426">
        <v>5082</v>
      </c>
      <c r="E426" t="str">
        <f>"070269127"</f>
        <v>070269127</v>
      </c>
      <c r="F426" t="s">
        <v>1568</v>
      </c>
      <c r="G426" t="s">
        <v>42</v>
      </c>
      <c r="H426" t="s">
        <v>1569</v>
      </c>
      <c r="I426" t="s">
        <v>1570</v>
      </c>
      <c r="J426" t="s">
        <v>926</v>
      </c>
      <c r="K426" t="str">
        <f t="shared" si="66"/>
        <v>6024492274</v>
      </c>
      <c r="L426" t="str">
        <f>""</f>
        <v/>
      </c>
      <c r="M426" t="str">
        <f>""</f>
        <v/>
      </c>
      <c r="N426" t="str">
        <f>""</f>
        <v/>
      </c>
      <c r="O426" t="s">
        <v>1543</v>
      </c>
      <c r="P426" t="s">
        <v>1534</v>
      </c>
      <c r="R426" t="s">
        <v>964</v>
      </c>
      <c r="S426" t="s">
        <v>36</v>
      </c>
      <c r="T426" t="str">
        <f t="shared" si="67"/>
        <v>85050</v>
      </c>
      <c r="U426" t="str">
        <f>""</f>
        <v/>
      </c>
      <c r="V426" t="s">
        <v>1571</v>
      </c>
      <c r="X426" t="s">
        <v>964</v>
      </c>
      <c r="Y426" t="s">
        <v>36</v>
      </c>
      <c r="Z426" t="str">
        <f>"85022"</f>
        <v>85022</v>
      </c>
      <c r="AA426" t="str">
        <f>""</f>
        <v/>
      </c>
      <c r="AB426" t="s">
        <v>282</v>
      </c>
    </row>
    <row r="427" spans="1:28" x14ac:dyDescent="0.25">
      <c r="A427">
        <v>4241</v>
      </c>
      <c r="B427" t="str">
        <f t="shared" si="65"/>
        <v>070269000</v>
      </c>
      <c r="C427" t="s">
        <v>1529</v>
      </c>
      <c r="D427">
        <v>5083</v>
      </c>
      <c r="E427" t="str">
        <f>"070269128"</f>
        <v>070269128</v>
      </c>
      <c r="F427" t="s">
        <v>1572</v>
      </c>
      <c r="G427" t="s">
        <v>42</v>
      </c>
      <c r="H427" t="s">
        <v>1573</v>
      </c>
      <c r="I427" t="s">
        <v>1574</v>
      </c>
      <c r="J427" t="s">
        <v>926</v>
      </c>
      <c r="K427" t="str">
        <f t="shared" si="66"/>
        <v>6024492274</v>
      </c>
      <c r="L427" t="str">
        <f>""</f>
        <v/>
      </c>
      <c r="M427" t="str">
        <f>""</f>
        <v/>
      </c>
      <c r="N427" t="str">
        <f>""</f>
        <v/>
      </c>
      <c r="O427" t="s">
        <v>1543</v>
      </c>
      <c r="P427" t="s">
        <v>1534</v>
      </c>
      <c r="R427" t="s">
        <v>964</v>
      </c>
      <c r="S427" t="s">
        <v>36</v>
      </c>
      <c r="T427" t="str">
        <f t="shared" si="67"/>
        <v>85050</v>
      </c>
      <c r="U427" t="str">
        <f>""</f>
        <v/>
      </c>
      <c r="V427" t="s">
        <v>1575</v>
      </c>
      <c r="X427" t="s">
        <v>1465</v>
      </c>
      <c r="Y427" t="s">
        <v>36</v>
      </c>
      <c r="Z427" t="str">
        <f>"85254"</f>
        <v>85254</v>
      </c>
      <c r="AA427" t="str">
        <f>""</f>
        <v/>
      </c>
      <c r="AB427" t="s">
        <v>282</v>
      </c>
    </row>
    <row r="428" spans="1:28" x14ac:dyDescent="0.25">
      <c r="A428">
        <v>4241</v>
      </c>
      <c r="B428" t="str">
        <f t="shared" si="65"/>
        <v>070269000</v>
      </c>
      <c r="C428" t="s">
        <v>1529</v>
      </c>
      <c r="D428">
        <v>5084</v>
      </c>
      <c r="E428" t="str">
        <f>"070269129"</f>
        <v>070269129</v>
      </c>
      <c r="F428" t="s">
        <v>1576</v>
      </c>
      <c r="G428" t="s">
        <v>42</v>
      </c>
      <c r="H428" t="s">
        <v>1577</v>
      </c>
      <c r="I428" t="s">
        <v>1578</v>
      </c>
      <c r="J428" t="s">
        <v>926</v>
      </c>
      <c r="K428" t="str">
        <f t="shared" si="66"/>
        <v>6024492274</v>
      </c>
      <c r="L428" t="str">
        <f>""</f>
        <v/>
      </c>
      <c r="M428" t="str">
        <f>""</f>
        <v/>
      </c>
      <c r="N428" t="str">
        <f>""</f>
        <v/>
      </c>
      <c r="O428" t="s">
        <v>1543</v>
      </c>
      <c r="P428" t="s">
        <v>1534</v>
      </c>
      <c r="R428" t="s">
        <v>964</v>
      </c>
      <c r="S428" t="s">
        <v>36</v>
      </c>
      <c r="T428" t="str">
        <f t="shared" si="67"/>
        <v>85050</v>
      </c>
      <c r="U428" t="str">
        <f>""</f>
        <v/>
      </c>
      <c r="V428" t="s">
        <v>1579</v>
      </c>
      <c r="X428" t="s">
        <v>1465</v>
      </c>
      <c r="Y428" t="s">
        <v>36</v>
      </c>
      <c r="Z428" t="str">
        <f>"85260"</f>
        <v>85260</v>
      </c>
      <c r="AA428" t="str">
        <f>""</f>
        <v/>
      </c>
      <c r="AB428" t="s">
        <v>282</v>
      </c>
    </row>
    <row r="429" spans="1:28" x14ac:dyDescent="0.25">
      <c r="A429">
        <v>4241</v>
      </c>
      <c r="B429" t="str">
        <f t="shared" si="65"/>
        <v>070269000</v>
      </c>
      <c r="C429" t="s">
        <v>1529</v>
      </c>
      <c r="D429">
        <v>5085</v>
      </c>
      <c r="E429" t="str">
        <f>"070269130"</f>
        <v>070269130</v>
      </c>
      <c r="F429" t="s">
        <v>1580</v>
      </c>
      <c r="G429" t="s">
        <v>42</v>
      </c>
      <c r="H429" t="s">
        <v>1581</v>
      </c>
      <c r="I429" t="s">
        <v>1582</v>
      </c>
      <c r="J429" t="s">
        <v>926</v>
      </c>
      <c r="K429" t="str">
        <f t="shared" si="66"/>
        <v>6024492274</v>
      </c>
      <c r="L429" t="str">
        <f>""</f>
        <v/>
      </c>
      <c r="M429" t="str">
        <f>""</f>
        <v/>
      </c>
      <c r="N429" t="str">
        <f>""</f>
        <v/>
      </c>
      <c r="O429" t="s">
        <v>1543</v>
      </c>
      <c r="P429" t="s">
        <v>1534</v>
      </c>
      <c r="R429" t="s">
        <v>964</v>
      </c>
      <c r="S429" t="s">
        <v>36</v>
      </c>
      <c r="T429" t="str">
        <f t="shared" si="67"/>
        <v>85050</v>
      </c>
      <c r="U429" t="str">
        <f>""</f>
        <v/>
      </c>
      <c r="V429" t="s">
        <v>1583</v>
      </c>
      <c r="X429" t="s">
        <v>1465</v>
      </c>
      <c r="Y429" t="s">
        <v>36</v>
      </c>
      <c r="Z429" t="str">
        <f>"85254"</f>
        <v>85254</v>
      </c>
      <c r="AA429" t="str">
        <f>""</f>
        <v/>
      </c>
      <c r="AB429" t="s">
        <v>282</v>
      </c>
    </row>
    <row r="430" spans="1:28" x14ac:dyDescent="0.25">
      <c r="A430">
        <v>4241</v>
      </c>
      <c r="B430" t="str">
        <f t="shared" si="65"/>
        <v>070269000</v>
      </c>
      <c r="C430" t="s">
        <v>1529</v>
      </c>
      <c r="D430">
        <v>5086</v>
      </c>
      <c r="E430" t="str">
        <f>"070269135"</f>
        <v>070269135</v>
      </c>
      <c r="F430" t="s">
        <v>1584</v>
      </c>
      <c r="G430" t="s">
        <v>42</v>
      </c>
      <c r="H430" t="s">
        <v>1585</v>
      </c>
      <c r="I430" t="s">
        <v>1586</v>
      </c>
      <c r="J430" t="s">
        <v>926</v>
      </c>
      <c r="K430" t="str">
        <f t="shared" si="66"/>
        <v>6024492274</v>
      </c>
      <c r="L430" t="str">
        <f>""</f>
        <v/>
      </c>
      <c r="M430" t="str">
        <f>""</f>
        <v/>
      </c>
      <c r="N430" t="str">
        <f>""</f>
        <v/>
      </c>
      <c r="O430" t="s">
        <v>1543</v>
      </c>
      <c r="P430" t="s">
        <v>1534</v>
      </c>
      <c r="R430" t="s">
        <v>964</v>
      </c>
      <c r="S430" t="s">
        <v>36</v>
      </c>
      <c r="T430" t="str">
        <f t="shared" si="67"/>
        <v>85050</v>
      </c>
      <c r="U430" t="str">
        <f>""</f>
        <v/>
      </c>
      <c r="V430" t="s">
        <v>1587</v>
      </c>
      <c r="X430" t="s">
        <v>964</v>
      </c>
      <c r="Y430" t="s">
        <v>36</v>
      </c>
      <c r="Z430" t="str">
        <f>"85032"</f>
        <v>85032</v>
      </c>
      <c r="AA430" t="str">
        <f>""</f>
        <v/>
      </c>
      <c r="AB430" t="s">
        <v>282</v>
      </c>
    </row>
    <row r="431" spans="1:28" x14ac:dyDescent="0.25">
      <c r="A431">
        <v>4241</v>
      </c>
      <c r="B431" t="str">
        <f t="shared" si="65"/>
        <v>070269000</v>
      </c>
      <c r="C431" t="s">
        <v>1529</v>
      </c>
      <c r="D431">
        <v>5087</v>
      </c>
      <c r="E431" t="str">
        <f>"070269138"</f>
        <v>070269138</v>
      </c>
      <c r="F431" t="s">
        <v>1588</v>
      </c>
      <c r="G431" t="s">
        <v>42</v>
      </c>
      <c r="H431" t="s">
        <v>1589</v>
      </c>
      <c r="I431" t="s">
        <v>1590</v>
      </c>
      <c r="J431" t="s">
        <v>926</v>
      </c>
      <c r="K431" t="str">
        <f t="shared" si="66"/>
        <v>6024492274</v>
      </c>
      <c r="L431" t="str">
        <f>""</f>
        <v/>
      </c>
      <c r="M431" t="str">
        <f>""</f>
        <v/>
      </c>
      <c r="N431" t="str">
        <f>""</f>
        <v/>
      </c>
      <c r="O431" t="s">
        <v>1543</v>
      </c>
      <c r="P431" t="s">
        <v>1534</v>
      </c>
      <c r="R431" t="s">
        <v>964</v>
      </c>
      <c r="S431" t="s">
        <v>36</v>
      </c>
      <c r="T431" t="str">
        <f t="shared" si="67"/>
        <v>85050</v>
      </c>
      <c r="U431" t="str">
        <f>""</f>
        <v/>
      </c>
      <c r="V431" t="s">
        <v>1591</v>
      </c>
      <c r="X431" t="s">
        <v>964</v>
      </c>
      <c r="Y431" t="s">
        <v>36</v>
      </c>
      <c r="Z431" t="str">
        <f>"85050"</f>
        <v>85050</v>
      </c>
      <c r="AA431" t="str">
        <f>""</f>
        <v/>
      </c>
      <c r="AB431" t="s">
        <v>282</v>
      </c>
    </row>
    <row r="432" spans="1:28" x14ac:dyDescent="0.25">
      <c r="A432">
        <v>4241</v>
      </c>
      <c r="B432" t="str">
        <f t="shared" si="65"/>
        <v>070269000</v>
      </c>
      <c r="C432" t="s">
        <v>1529</v>
      </c>
      <c r="D432">
        <v>5088</v>
      </c>
      <c r="E432" t="str">
        <f>"070269139"</f>
        <v>070269139</v>
      </c>
      <c r="F432" t="s">
        <v>1592</v>
      </c>
      <c r="G432" t="s">
        <v>42</v>
      </c>
      <c r="H432" t="s">
        <v>1536</v>
      </c>
      <c r="I432" t="s">
        <v>1537</v>
      </c>
      <c r="J432" t="s">
        <v>926</v>
      </c>
      <c r="K432" t="str">
        <f t="shared" si="66"/>
        <v>6024492274</v>
      </c>
      <c r="L432" t="str">
        <f>""</f>
        <v/>
      </c>
      <c r="M432" t="str">
        <f>""</f>
        <v/>
      </c>
      <c r="N432" t="str">
        <f>""</f>
        <v/>
      </c>
      <c r="O432" t="s">
        <v>1543</v>
      </c>
      <c r="P432" t="s">
        <v>1534</v>
      </c>
      <c r="R432" t="s">
        <v>964</v>
      </c>
      <c r="S432" t="s">
        <v>36</v>
      </c>
      <c r="T432" t="str">
        <f t="shared" si="67"/>
        <v>85050</v>
      </c>
      <c r="U432" t="str">
        <f>""</f>
        <v/>
      </c>
      <c r="V432" t="s">
        <v>1593</v>
      </c>
      <c r="X432" t="s">
        <v>964</v>
      </c>
      <c r="Y432" t="s">
        <v>36</v>
      </c>
      <c r="Z432" t="str">
        <f>"85032"</f>
        <v>85032</v>
      </c>
      <c r="AA432" t="str">
        <f>""</f>
        <v/>
      </c>
      <c r="AB432" t="s">
        <v>282</v>
      </c>
    </row>
    <row r="433" spans="1:28" x14ac:dyDescent="0.25">
      <c r="A433">
        <v>4241</v>
      </c>
      <c r="B433" t="str">
        <f t="shared" si="65"/>
        <v>070269000</v>
      </c>
      <c r="C433" t="s">
        <v>1529</v>
      </c>
      <c r="D433">
        <v>5089</v>
      </c>
      <c r="E433" t="str">
        <f>"070269140"</f>
        <v>070269140</v>
      </c>
      <c r="F433" t="s">
        <v>1594</v>
      </c>
      <c r="G433" t="s">
        <v>42</v>
      </c>
      <c r="H433" t="s">
        <v>1595</v>
      </c>
      <c r="I433" t="s">
        <v>1596</v>
      </c>
      <c r="J433" t="s">
        <v>926</v>
      </c>
      <c r="K433" t="str">
        <f t="shared" si="66"/>
        <v>6024492274</v>
      </c>
      <c r="L433" t="str">
        <f>""</f>
        <v/>
      </c>
      <c r="M433" t="str">
        <f>""</f>
        <v/>
      </c>
      <c r="N433" t="str">
        <f>""</f>
        <v/>
      </c>
      <c r="O433" t="s">
        <v>1543</v>
      </c>
      <c r="P433" t="s">
        <v>1534</v>
      </c>
      <c r="R433" t="s">
        <v>964</v>
      </c>
      <c r="S433" t="s">
        <v>36</v>
      </c>
      <c r="T433" t="str">
        <f t="shared" si="67"/>
        <v>85050</v>
      </c>
      <c r="U433" t="str">
        <f>""</f>
        <v/>
      </c>
      <c r="V433" t="s">
        <v>1597</v>
      </c>
      <c r="X433" t="s">
        <v>964</v>
      </c>
      <c r="Y433" t="s">
        <v>36</v>
      </c>
      <c r="Z433" t="str">
        <f>"85032"</f>
        <v>85032</v>
      </c>
      <c r="AA433" t="str">
        <f>""</f>
        <v/>
      </c>
      <c r="AB433" t="s">
        <v>282</v>
      </c>
    </row>
    <row r="434" spans="1:28" x14ac:dyDescent="0.25">
      <c r="A434">
        <v>4241</v>
      </c>
      <c r="B434" t="str">
        <f t="shared" si="65"/>
        <v>070269000</v>
      </c>
      <c r="C434" t="s">
        <v>1529</v>
      </c>
      <c r="D434">
        <v>5090</v>
      </c>
      <c r="E434" t="str">
        <f>"070269143"</f>
        <v>070269143</v>
      </c>
      <c r="F434" t="s">
        <v>1598</v>
      </c>
      <c r="G434" t="s">
        <v>42</v>
      </c>
      <c r="H434" t="s">
        <v>1599</v>
      </c>
      <c r="I434" t="s">
        <v>1600</v>
      </c>
      <c r="J434" t="s">
        <v>926</v>
      </c>
      <c r="K434" t="str">
        <f t="shared" si="66"/>
        <v>6024492274</v>
      </c>
      <c r="L434" t="str">
        <f>""</f>
        <v/>
      </c>
      <c r="M434" t="str">
        <f>""</f>
        <v/>
      </c>
      <c r="N434" t="str">
        <f>""</f>
        <v/>
      </c>
      <c r="O434" t="s">
        <v>1543</v>
      </c>
      <c r="P434" t="s">
        <v>1534</v>
      </c>
      <c r="R434" t="s">
        <v>964</v>
      </c>
      <c r="S434" t="s">
        <v>36</v>
      </c>
      <c r="T434" t="str">
        <f t="shared" si="67"/>
        <v>85050</v>
      </c>
      <c r="U434" t="str">
        <f>""</f>
        <v/>
      </c>
      <c r="V434" t="s">
        <v>1601</v>
      </c>
      <c r="X434" t="s">
        <v>1465</v>
      </c>
      <c r="Y434" t="s">
        <v>36</v>
      </c>
      <c r="Z434" t="str">
        <f>"85254"</f>
        <v>85254</v>
      </c>
      <c r="AA434" t="str">
        <f>""</f>
        <v/>
      </c>
      <c r="AB434" t="s">
        <v>282</v>
      </c>
    </row>
    <row r="435" spans="1:28" x14ac:dyDescent="0.25">
      <c r="A435">
        <v>4241</v>
      </c>
      <c r="B435" t="str">
        <f t="shared" si="65"/>
        <v>070269000</v>
      </c>
      <c r="C435" t="s">
        <v>1529</v>
      </c>
      <c r="D435">
        <v>5091</v>
      </c>
      <c r="E435" t="str">
        <f>"070269144"</f>
        <v>070269144</v>
      </c>
      <c r="F435" t="s">
        <v>1602</v>
      </c>
      <c r="G435" t="s">
        <v>42</v>
      </c>
      <c r="H435" t="s">
        <v>1603</v>
      </c>
      <c r="I435" t="s">
        <v>1604</v>
      </c>
      <c r="J435" t="s">
        <v>926</v>
      </c>
      <c r="K435" t="str">
        <f t="shared" si="66"/>
        <v>6024492274</v>
      </c>
      <c r="L435" t="str">
        <f>""</f>
        <v/>
      </c>
      <c r="M435" t="str">
        <f>""</f>
        <v/>
      </c>
      <c r="N435" t="str">
        <f>""</f>
        <v/>
      </c>
      <c r="O435" t="s">
        <v>1543</v>
      </c>
      <c r="P435" t="s">
        <v>1534</v>
      </c>
      <c r="R435" t="s">
        <v>964</v>
      </c>
      <c r="S435" t="s">
        <v>36</v>
      </c>
      <c r="T435" t="str">
        <f t="shared" si="67"/>
        <v>85050</v>
      </c>
      <c r="U435" t="str">
        <f>""</f>
        <v/>
      </c>
      <c r="V435" t="s">
        <v>1605</v>
      </c>
      <c r="X435" t="s">
        <v>964</v>
      </c>
      <c r="Y435" t="s">
        <v>36</v>
      </c>
      <c r="Z435" t="str">
        <f>"85024"</f>
        <v>85024</v>
      </c>
      <c r="AA435" t="str">
        <f>""</f>
        <v/>
      </c>
      <c r="AB435" t="s">
        <v>282</v>
      </c>
    </row>
    <row r="436" spans="1:28" x14ac:dyDescent="0.25">
      <c r="A436">
        <v>4241</v>
      </c>
      <c r="B436" t="str">
        <f t="shared" si="65"/>
        <v>070269000</v>
      </c>
      <c r="C436" t="s">
        <v>1529</v>
      </c>
      <c r="D436">
        <v>5092</v>
      </c>
      <c r="E436" t="str">
        <f>"070269145"</f>
        <v>070269145</v>
      </c>
      <c r="F436" t="s">
        <v>1606</v>
      </c>
      <c r="G436" t="s">
        <v>42</v>
      </c>
      <c r="H436" t="s">
        <v>1607</v>
      </c>
      <c r="I436" t="s">
        <v>1582</v>
      </c>
      <c r="J436" t="s">
        <v>926</v>
      </c>
      <c r="K436" t="str">
        <f t="shared" si="66"/>
        <v>6024492274</v>
      </c>
      <c r="L436" t="str">
        <f>""</f>
        <v/>
      </c>
      <c r="M436" t="str">
        <f>""</f>
        <v/>
      </c>
      <c r="N436" t="str">
        <f>""</f>
        <v/>
      </c>
      <c r="O436" t="s">
        <v>1543</v>
      </c>
      <c r="P436" t="s">
        <v>1534</v>
      </c>
      <c r="R436" t="s">
        <v>964</v>
      </c>
      <c r="S436" t="s">
        <v>36</v>
      </c>
      <c r="T436" t="str">
        <f t="shared" si="67"/>
        <v>85050</v>
      </c>
      <c r="U436" t="str">
        <f>""</f>
        <v/>
      </c>
      <c r="V436" t="s">
        <v>1608</v>
      </c>
      <c r="X436" t="s">
        <v>964</v>
      </c>
      <c r="Y436" t="s">
        <v>36</v>
      </c>
      <c r="Z436" t="str">
        <f>"85028"</f>
        <v>85028</v>
      </c>
      <c r="AA436" t="str">
        <f>""</f>
        <v/>
      </c>
      <c r="AB436" t="s">
        <v>282</v>
      </c>
    </row>
    <row r="437" spans="1:28" x14ac:dyDescent="0.25">
      <c r="A437">
        <v>4241</v>
      </c>
      <c r="B437" t="str">
        <f t="shared" si="65"/>
        <v>070269000</v>
      </c>
      <c r="C437" t="s">
        <v>1529</v>
      </c>
      <c r="D437">
        <v>5093</v>
      </c>
      <c r="E437" t="str">
        <f>"070269146"</f>
        <v>070269146</v>
      </c>
      <c r="F437" t="s">
        <v>1609</v>
      </c>
      <c r="G437" t="s">
        <v>42</v>
      </c>
      <c r="H437" t="s">
        <v>1610</v>
      </c>
      <c r="I437" t="s">
        <v>1611</v>
      </c>
      <c r="J437" t="s">
        <v>926</v>
      </c>
      <c r="K437" t="str">
        <f t="shared" si="66"/>
        <v>6024492274</v>
      </c>
      <c r="L437" t="str">
        <f>""</f>
        <v/>
      </c>
      <c r="M437" t="str">
        <f>""</f>
        <v/>
      </c>
      <c r="N437" t="str">
        <f>""</f>
        <v/>
      </c>
      <c r="O437" t="s">
        <v>1543</v>
      </c>
      <c r="P437" t="s">
        <v>1534</v>
      </c>
      <c r="R437" t="s">
        <v>964</v>
      </c>
      <c r="S437" t="s">
        <v>36</v>
      </c>
      <c r="T437" t="str">
        <f t="shared" si="67"/>
        <v>85050</v>
      </c>
      <c r="U437" t="str">
        <f>""</f>
        <v/>
      </c>
      <c r="V437" t="s">
        <v>1612</v>
      </c>
      <c r="X437" t="s">
        <v>964</v>
      </c>
      <c r="Y437" t="s">
        <v>36</v>
      </c>
      <c r="Z437" t="str">
        <f>"85022"</f>
        <v>85022</v>
      </c>
      <c r="AA437" t="str">
        <f>""</f>
        <v/>
      </c>
      <c r="AB437" t="s">
        <v>282</v>
      </c>
    </row>
    <row r="438" spans="1:28" x14ac:dyDescent="0.25">
      <c r="A438">
        <v>4241</v>
      </c>
      <c r="B438" t="str">
        <f t="shared" si="65"/>
        <v>070269000</v>
      </c>
      <c r="C438" t="s">
        <v>1529</v>
      </c>
      <c r="D438">
        <v>5094</v>
      </c>
      <c r="E438" t="str">
        <f>"070269150"</f>
        <v>070269150</v>
      </c>
      <c r="F438" t="s">
        <v>1613</v>
      </c>
      <c r="G438" t="s">
        <v>42</v>
      </c>
      <c r="H438" t="s">
        <v>1614</v>
      </c>
      <c r="I438" t="s">
        <v>1615</v>
      </c>
      <c r="J438" t="s">
        <v>926</v>
      </c>
      <c r="K438" t="str">
        <f t="shared" si="66"/>
        <v>6024492274</v>
      </c>
      <c r="L438" t="str">
        <f>""</f>
        <v/>
      </c>
      <c r="M438" t="str">
        <f>""</f>
        <v/>
      </c>
      <c r="N438" t="str">
        <f>""</f>
        <v/>
      </c>
      <c r="O438" t="s">
        <v>1543</v>
      </c>
      <c r="P438" t="s">
        <v>1534</v>
      </c>
      <c r="R438" t="s">
        <v>964</v>
      </c>
      <c r="S438" t="s">
        <v>36</v>
      </c>
      <c r="T438" t="str">
        <f t="shared" si="67"/>
        <v>85050</v>
      </c>
      <c r="U438" t="str">
        <f>""</f>
        <v/>
      </c>
      <c r="V438" t="s">
        <v>1616</v>
      </c>
      <c r="X438" t="s">
        <v>964</v>
      </c>
      <c r="Y438" t="s">
        <v>36</v>
      </c>
      <c r="Z438" t="str">
        <f>"85032"</f>
        <v>85032</v>
      </c>
      <c r="AA438" t="str">
        <f>""</f>
        <v/>
      </c>
      <c r="AB438" t="s">
        <v>282</v>
      </c>
    </row>
    <row r="439" spans="1:28" x14ac:dyDescent="0.25">
      <c r="A439">
        <v>4241</v>
      </c>
      <c r="B439" t="str">
        <f t="shared" si="65"/>
        <v>070269000</v>
      </c>
      <c r="C439" t="s">
        <v>1529</v>
      </c>
      <c r="D439">
        <v>5095</v>
      </c>
      <c r="E439" t="str">
        <f>"070269156"</f>
        <v>070269156</v>
      </c>
      <c r="F439" t="s">
        <v>1617</v>
      </c>
      <c r="G439" t="s">
        <v>42</v>
      </c>
      <c r="H439" t="s">
        <v>1618</v>
      </c>
      <c r="I439" t="s">
        <v>1619</v>
      </c>
      <c r="J439" t="s">
        <v>926</v>
      </c>
      <c r="K439" t="str">
        <f t="shared" si="66"/>
        <v>6024492274</v>
      </c>
      <c r="L439" t="str">
        <f>""</f>
        <v/>
      </c>
      <c r="M439" t="str">
        <f>""</f>
        <v/>
      </c>
      <c r="N439" t="str">
        <f>""</f>
        <v/>
      </c>
      <c r="O439" t="s">
        <v>1543</v>
      </c>
      <c r="P439" t="s">
        <v>1534</v>
      </c>
      <c r="R439" t="s">
        <v>964</v>
      </c>
      <c r="S439" t="s">
        <v>36</v>
      </c>
      <c r="T439" t="str">
        <f t="shared" si="67"/>
        <v>85050</v>
      </c>
      <c r="U439" t="str">
        <f>""</f>
        <v/>
      </c>
      <c r="V439" t="s">
        <v>1620</v>
      </c>
      <c r="X439" t="s">
        <v>1465</v>
      </c>
      <c r="Y439" t="s">
        <v>36</v>
      </c>
      <c r="Z439" t="str">
        <f>"85254"</f>
        <v>85254</v>
      </c>
      <c r="AA439" t="str">
        <f>""</f>
        <v/>
      </c>
      <c r="AB439" t="s">
        <v>282</v>
      </c>
    </row>
    <row r="440" spans="1:28" x14ac:dyDescent="0.25">
      <c r="A440">
        <v>4241</v>
      </c>
      <c r="B440" t="str">
        <f t="shared" si="65"/>
        <v>070269000</v>
      </c>
      <c r="C440" t="s">
        <v>1529</v>
      </c>
      <c r="D440">
        <v>5096</v>
      </c>
      <c r="E440" t="str">
        <f>"070269157"</f>
        <v>070269157</v>
      </c>
      <c r="F440" t="s">
        <v>1621</v>
      </c>
      <c r="G440" t="s">
        <v>42</v>
      </c>
      <c r="H440" t="s">
        <v>116</v>
      </c>
      <c r="I440" t="s">
        <v>1622</v>
      </c>
      <c r="J440" t="s">
        <v>926</v>
      </c>
      <c r="K440" t="str">
        <f t="shared" si="66"/>
        <v>6024492274</v>
      </c>
      <c r="L440" t="str">
        <f>""</f>
        <v/>
      </c>
      <c r="M440" t="str">
        <f>""</f>
        <v/>
      </c>
      <c r="N440" t="str">
        <f>""</f>
        <v/>
      </c>
      <c r="O440" t="s">
        <v>1543</v>
      </c>
      <c r="P440" t="s">
        <v>1534</v>
      </c>
      <c r="R440" t="s">
        <v>964</v>
      </c>
      <c r="S440" t="s">
        <v>36</v>
      </c>
      <c r="T440" t="str">
        <f t="shared" si="67"/>
        <v>85050</v>
      </c>
      <c r="U440" t="str">
        <f>""</f>
        <v/>
      </c>
      <c r="V440" t="s">
        <v>1623</v>
      </c>
      <c r="X440" t="s">
        <v>964</v>
      </c>
      <c r="Y440" t="s">
        <v>36</v>
      </c>
      <c r="Z440" t="str">
        <f>"85022"</f>
        <v>85022</v>
      </c>
      <c r="AA440" t="str">
        <f>""</f>
        <v/>
      </c>
      <c r="AB440" t="s">
        <v>282</v>
      </c>
    </row>
    <row r="441" spans="1:28" x14ac:dyDescent="0.25">
      <c r="A441">
        <v>4241</v>
      </c>
      <c r="B441" t="str">
        <f t="shared" si="65"/>
        <v>070269000</v>
      </c>
      <c r="C441" t="s">
        <v>1529</v>
      </c>
      <c r="D441">
        <v>5098</v>
      </c>
      <c r="E441" t="str">
        <f>"070269159"</f>
        <v>070269159</v>
      </c>
      <c r="F441" t="s">
        <v>1624</v>
      </c>
      <c r="G441" t="s">
        <v>42</v>
      </c>
      <c r="H441" t="s">
        <v>1625</v>
      </c>
      <c r="I441" t="s">
        <v>110</v>
      </c>
      <c r="J441" t="s">
        <v>926</v>
      </c>
      <c r="K441" t="str">
        <f t="shared" si="66"/>
        <v>6024492274</v>
      </c>
      <c r="L441" t="str">
        <f>""</f>
        <v/>
      </c>
      <c r="M441" t="str">
        <f>""</f>
        <v/>
      </c>
      <c r="N441" t="str">
        <f>""</f>
        <v/>
      </c>
      <c r="O441" t="s">
        <v>1543</v>
      </c>
      <c r="P441" t="s">
        <v>1534</v>
      </c>
      <c r="R441" t="s">
        <v>964</v>
      </c>
      <c r="S441" t="s">
        <v>36</v>
      </c>
      <c r="T441" t="str">
        <f t="shared" si="67"/>
        <v>85050</v>
      </c>
      <c r="U441" t="str">
        <f>""</f>
        <v/>
      </c>
      <c r="V441" t="s">
        <v>1626</v>
      </c>
      <c r="X441" t="s">
        <v>1465</v>
      </c>
      <c r="Y441" t="s">
        <v>36</v>
      </c>
      <c r="Z441" t="str">
        <f>"85254"</f>
        <v>85254</v>
      </c>
      <c r="AA441" t="str">
        <f>""</f>
        <v/>
      </c>
      <c r="AB441" t="s">
        <v>282</v>
      </c>
    </row>
    <row r="442" spans="1:28" x14ac:dyDescent="0.25">
      <c r="A442">
        <v>4241</v>
      </c>
      <c r="B442" t="str">
        <f t="shared" si="65"/>
        <v>070269000</v>
      </c>
      <c r="C442" t="s">
        <v>1529</v>
      </c>
      <c r="D442">
        <v>5099</v>
      </c>
      <c r="E442" t="str">
        <f>"070269170"</f>
        <v>070269170</v>
      </c>
      <c r="F442" t="s">
        <v>1627</v>
      </c>
      <c r="G442" t="s">
        <v>42</v>
      </c>
      <c r="H442" t="s">
        <v>320</v>
      </c>
      <c r="I442" t="s">
        <v>1628</v>
      </c>
      <c r="J442" t="s">
        <v>926</v>
      </c>
      <c r="K442" t="str">
        <f t="shared" si="66"/>
        <v>6024492274</v>
      </c>
      <c r="L442" t="str">
        <f>""</f>
        <v/>
      </c>
      <c r="M442" t="str">
        <f>""</f>
        <v/>
      </c>
      <c r="N442" t="str">
        <f>""</f>
        <v/>
      </c>
      <c r="O442" t="s">
        <v>1543</v>
      </c>
      <c r="P442" t="s">
        <v>1534</v>
      </c>
      <c r="R442" t="s">
        <v>964</v>
      </c>
      <c r="S442" t="s">
        <v>36</v>
      </c>
      <c r="T442" t="str">
        <f t="shared" si="67"/>
        <v>85050</v>
      </c>
      <c r="U442" t="str">
        <f>""</f>
        <v/>
      </c>
      <c r="V442" t="s">
        <v>1629</v>
      </c>
      <c r="X442" t="s">
        <v>1465</v>
      </c>
      <c r="Y442" t="s">
        <v>36</v>
      </c>
      <c r="Z442" t="str">
        <f>"85254"</f>
        <v>85254</v>
      </c>
      <c r="AA442" t="str">
        <f>""</f>
        <v/>
      </c>
      <c r="AB442" t="s">
        <v>282</v>
      </c>
    </row>
    <row r="443" spans="1:28" x14ac:dyDescent="0.25">
      <c r="A443">
        <v>4241</v>
      </c>
      <c r="B443" t="str">
        <f t="shared" si="65"/>
        <v>070269000</v>
      </c>
      <c r="C443" t="s">
        <v>1529</v>
      </c>
      <c r="D443">
        <v>5100</v>
      </c>
      <c r="E443" t="str">
        <f>"070269171"</f>
        <v>070269171</v>
      </c>
      <c r="F443" t="s">
        <v>1630</v>
      </c>
      <c r="G443" t="s">
        <v>42</v>
      </c>
      <c r="H443" t="s">
        <v>1631</v>
      </c>
      <c r="I443" t="s">
        <v>1632</v>
      </c>
      <c r="J443" t="s">
        <v>926</v>
      </c>
      <c r="K443" t="str">
        <f t="shared" si="66"/>
        <v>6024492274</v>
      </c>
      <c r="L443" t="str">
        <f>""</f>
        <v/>
      </c>
      <c r="M443" t="str">
        <f>""</f>
        <v/>
      </c>
      <c r="N443" t="str">
        <f>""</f>
        <v/>
      </c>
      <c r="O443" t="s">
        <v>1543</v>
      </c>
      <c r="P443" t="s">
        <v>1534</v>
      </c>
      <c r="R443" t="s">
        <v>964</v>
      </c>
      <c r="S443" t="s">
        <v>36</v>
      </c>
      <c r="T443" t="str">
        <f t="shared" si="67"/>
        <v>85050</v>
      </c>
      <c r="U443" t="str">
        <f>""</f>
        <v/>
      </c>
      <c r="V443" t="s">
        <v>1633</v>
      </c>
      <c r="X443" t="s">
        <v>964</v>
      </c>
      <c r="Y443" t="s">
        <v>36</v>
      </c>
      <c r="Z443" t="str">
        <f>"85032"</f>
        <v>85032</v>
      </c>
      <c r="AA443" t="str">
        <f>""</f>
        <v/>
      </c>
      <c r="AB443" t="s">
        <v>282</v>
      </c>
    </row>
    <row r="444" spans="1:28" x14ac:dyDescent="0.25">
      <c r="A444">
        <v>4241</v>
      </c>
      <c r="B444" t="str">
        <f t="shared" si="65"/>
        <v>070269000</v>
      </c>
      <c r="C444" t="s">
        <v>1529</v>
      </c>
      <c r="D444">
        <v>5101</v>
      </c>
      <c r="E444" t="str">
        <f>"070269175"</f>
        <v>070269175</v>
      </c>
      <c r="F444" t="s">
        <v>1634</v>
      </c>
      <c r="G444" t="s">
        <v>42</v>
      </c>
      <c r="H444" t="s">
        <v>1635</v>
      </c>
      <c r="I444" t="s">
        <v>1636</v>
      </c>
      <c r="J444" t="s">
        <v>926</v>
      </c>
      <c r="K444" t="str">
        <f t="shared" si="66"/>
        <v>6024492274</v>
      </c>
      <c r="L444" t="str">
        <f>""</f>
        <v/>
      </c>
      <c r="M444" t="str">
        <f>""</f>
        <v/>
      </c>
      <c r="N444" t="str">
        <f>""</f>
        <v/>
      </c>
      <c r="O444" t="s">
        <v>1543</v>
      </c>
      <c r="P444" t="s">
        <v>1534</v>
      </c>
      <c r="R444" t="s">
        <v>964</v>
      </c>
      <c r="S444" t="s">
        <v>36</v>
      </c>
      <c r="T444" t="str">
        <f t="shared" si="67"/>
        <v>85050</v>
      </c>
      <c r="U444" t="str">
        <f>""</f>
        <v/>
      </c>
      <c r="V444" t="s">
        <v>1637</v>
      </c>
      <c r="X444" t="s">
        <v>964</v>
      </c>
      <c r="Y444" t="s">
        <v>36</v>
      </c>
      <c r="Z444" t="str">
        <f>"85032"</f>
        <v>85032</v>
      </c>
      <c r="AA444" t="str">
        <f>""</f>
        <v/>
      </c>
      <c r="AB444" t="s">
        <v>282</v>
      </c>
    </row>
    <row r="445" spans="1:28" x14ac:dyDescent="0.25">
      <c r="A445">
        <v>4241</v>
      </c>
      <c r="B445" t="str">
        <f t="shared" si="65"/>
        <v>070269000</v>
      </c>
      <c r="C445" t="s">
        <v>1529</v>
      </c>
      <c r="D445">
        <v>5102</v>
      </c>
      <c r="E445" t="str">
        <f>"070269177"</f>
        <v>070269177</v>
      </c>
      <c r="F445" t="s">
        <v>1638</v>
      </c>
      <c r="G445" t="s">
        <v>42</v>
      </c>
      <c r="H445" t="s">
        <v>1639</v>
      </c>
      <c r="I445" t="s">
        <v>1640</v>
      </c>
      <c r="J445" t="s">
        <v>926</v>
      </c>
      <c r="K445" t="str">
        <f t="shared" si="66"/>
        <v>6024492274</v>
      </c>
      <c r="L445" t="str">
        <f>""</f>
        <v/>
      </c>
      <c r="M445" t="str">
        <f>""</f>
        <v/>
      </c>
      <c r="N445" t="str">
        <f>""</f>
        <v/>
      </c>
      <c r="O445" t="s">
        <v>1543</v>
      </c>
      <c r="P445" t="s">
        <v>1534</v>
      </c>
      <c r="R445" t="s">
        <v>964</v>
      </c>
      <c r="S445" t="s">
        <v>36</v>
      </c>
      <c r="T445" t="str">
        <f t="shared" si="67"/>
        <v>85050</v>
      </c>
      <c r="U445" t="str">
        <f>""</f>
        <v/>
      </c>
      <c r="V445" t="s">
        <v>1641</v>
      </c>
      <c r="X445" t="s">
        <v>964</v>
      </c>
      <c r="Y445" t="s">
        <v>36</v>
      </c>
      <c r="Z445" t="str">
        <f>"85050"</f>
        <v>85050</v>
      </c>
      <c r="AA445" t="str">
        <f>""</f>
        <v/>
      </c>
      <c r="AB445" t="s">
        <v>282</v>
      </c>
    </row>
    <row r="446" spans="1:28" x14ac:dyDescent="0.25">
      <c r="A446">
        <v>4241</v>
      </c>
      <c r="B446" t="str">
        <f t="shared" si="65"/>
        <v>070269000</v>
      </c>
      <c r="C446" t="s">
        <v>1529</v>
      </c>
      <c r="D446">
        <v>5103</v>
      </c>
      <c r="E446" t="str">
        <f>"070269178"</f>
        <v>070269178</v>
      </c>
      <c r="F446" t="s">
        <v>1642</v>
      </c>
      <c r="G446" t="s">
        <v>42</v>
      </c>
      <c r="H446" t="s">
        <v>1643</v>
      </c>
      <c r="I446" t="s">
        <v>1644</v>
      </c>
      <c r="J446" t="s">
        <v>926</v>
      </c>
      <c r="K446" t="str">
        <f t="shared" si="66"/>
        <v>6024492274</v>
      </c>
      <c r="L446" t="str">
        <f>""</f>
        <v/>
      </c>
      <c r="M446" t="str">
        <f>""</f>
        <v/>
      </c>
      <c r="N446" t="str">
        <f>""</f>
        <v/>
      </c>
      <c r="O446" t="s">
        <v>1543</v>
      </c>
      <c r="P446" t="s">
        <v>1534</v>
      </c>
      <c r="R446" t="s">
        <v>964</v>
      </c>
      <c r="S446" t="s">
        <v>36</v>
      </c>
      <c r="T446" t="str">
        <f t="shared" si="67"/>
        <v>85050</v>
      </c>
      <c r="U446" t="str">
        <f>""</f>
        <v/>
      </c>
      <c r="V446" t="s">
        <v>1645</v>
      </c>
      <c r="X446" t="s">
        <v>1465</v>
      </c>
      <c r="Y446" t="s">
        <v>36</v>
      </c>
      <c r="Z446" t="str">
        <f>"85254"</f>
        <v>85254</v>
      </c>
      <c r="AA446" t="str">
        <f>""</f>
        <v/>
      </c>
      <c r="AB446" t="s">
        <v>282</v>
      </c>
    </row>
    <row r="447" spans="1:28" x14ac:dyDescent="0.25">
      <c r="A447">
        <v>4241</v>
      </c>
      <c r="B447" t="str">
        <f t="shared" si="65"/>
        <v>070269000</v>
      </c>
      <c r="C447" t="s">
        <v>1529</v>
      </c>
      <c r="D447">
        <v>5104</v>
      </c>
      <c r="E447" t="str">
        <f>"070269180"</f>
        <v>070269180</v>
      </c>
      <c r="F447" t="s">
        <v>1646</v>
      </c>
      <c r="G447" t="s">
        <v>42</v>
      </c>
      <c r="H447" t="s">
        <v>1618</v>
      </c>
      <c r="I447" t="s">
        <v>1647</v>
      </c>
      <c r="J447" t="s">
        <v>926</v>
      </c>
      <c r="K447" t="str">
        <f t="shared" si="66"/>
        <v>6024492274</v>
      </c>
      <c r="L447" t="str">
        <f>""</f>
        <v/>
      </c>
      <c r="M447" t="str">
        <f>""</f>
        <v/>
      </c>
      <c r="N447" t="str">
        <f>""</f>
        <v/>
      </c>
      <c r="O447" t="s">
        <v>1543</v>
      </c>
      <c r="P447" t="s">
        <v>1534</v>
      </c>
      <c r="R447" t="s">
        <v>964</v>
      </c>
      <c r="S447" t="s">
        <v>36</v>
      </c>
      <c r="T447" t="str">
        <f t="shared" si="67"/>
        <v>85050</v>
      </c>
      <c r="U447" t="str">
        <f>""</f>
        <v/>
      </c>
      <c r="V447" t="s">
        <v>1648</v>
      </c>
      <c r="X447" t="s">
        <v>964</v>
      </c>
      <c r="Y447" t="s">
        <v>36</v>
      </c>
      <c r="Z447" t="str">
        <f>"85032"</f>
        <v>85032</v>
      </c>
      <c r="AA447" t="str">
        <f>""</f>
        <v/>
      </c>
      <c r="AB447" t="s">
        <v>282</v>
      </c>
    </row>
    <row r="448" spans="1:28" x14ac:dyDescent="0.25">
      <c r="A448">
        <v>4241</v>
      </c>
      <c r="B448" t="str">
        <f t="shared" si="65"/>
        <v>070269000</v>
      </c>
      <c r="C448" t="s">
        <v>1529</v>
      </c>
      <c r="D448">
        <v>5105</v>
      </c>
      <c r="E448" t="str">
        <f>"070269290"</f>
        <v>070269290</v>
      </c>
      <c r="F448" t="s">
        <v>1649</v>
      </c>
      <c r="G448" t="s">
        <v>42</v>
      </c>
      <c r="H448" t="s">
        <v>1650</v>
      </c>
      <c r="I448" t="s">
        <v>1651</v>
      </c>
      <c r="J448" t="s">
        <v>1652</v>
      </c>
      <c r="K448" t="str">
        <f t="shared" si="66"/>
        <v>6024492274</v>
      </c>
      <c r="L448" t="str">
        <f>""</f>
        <v/>
      </c>
      <c r="M448" t="str">
        <f>""</f>
        <v/>
      </c>
      <c r="N448" t="str">
        <f>""</f>
        <v/>
      </c>
      <c r="O448" t="s">
        <v>1543</v>
      </c>
      <c r="P448" t="s">
        <v>1534</v>
      </c>
      <c r="R448" t="s">
        <v>964</v>
      </c>
      <c r="S448" t="s">
        <v>36</v>
      </c>
      <c r="T448" t="str">
        <f t="shared" si="67"/>
        <v>85050</v>
      </c>
      <c r="U448" t="str">
        <f>""</f>
        <v/>
      </c>
      <c r="V448" t="s">
        <v>1653</v>
      </c>
      <c r="X448" t="s">
        <v>964</v>
      </c>
      <c r="Y448" t="s">
        <v>36</v>
      </c>
      <c r="Z448" t="str">
        <f>"85032"</f>
        <v>85032</v>
      </c>
      <c r="AA448" t="str">
        <f>""</f>
        <v/>
      </c>
      <c r="AB448" t="s">
        <v>282</v>
      </c>
    </row>
    <row r="449" spans="1:28" x14ac:dyDescent="0.25">
      <c r="A449">
        <v>4241</v>
      </c>
      <c r="B449" t="str">
        <f t="shared" si="65"/>
        <v>070269000</v>
      </c>
      <c r="C449" t="s">
        <v>1529</v>
      </c>
      <c r="D449">
        <v>5106</v>
      </c>
      <c r="E449" t="str">
        <f>"070269293"</f>
        <v>070269293</v>
      </c>
      <c r="F449" t="s">
        <v>1654</v>
      </c>
      <c r="G449" t="s">
        <v>42</v>
      </c>
      <c r="H449" t="s">
        <v>1655</v>
      </c>
      <c r="I449" t="s">
        <v>1656</v>
      </c>
      <c r="J449" t="s">
        <v>1652</v>
      </c>
      <c r="K449" t="str">
        <f t="shared" si="66"/>
        <v>6024492274</v>
      </c>
      <c r="L449" t="str">
        <f>""</f>
        <v/>
      </c>
      <c r="M449" t="str">
        <f>""</f>
        <v/>
      </c>
      <c r="N449" t="str">
        <f>""</f>
        <v/>
      </c>
      <c r="O449" t="s">
        <v>1543</v>
      </c>
      <c r="P449" t="s">
        <v>1534</v>
      </c>
      <c r="R449" t="s">
        <v>964</v>
      </c>
      <c r="S449" t="s">
        <v>36</v>
      </c>
      <c r="T449" t="str">
        <f t="shared" si="67"/>
        <v>85050</v>
      </c>
      <c r="U449" t="str">
        <f>""</f>
        <v/>
      </c>
      <c r="V449" t="s">
        <v>1657</v>
      </c>
      <c r="X449" t="s">
        <v>964</v>
      </c>
      <c r="Y449" t="s">
        <v>36</v>
      </c>
      <c r="Z449" t="str">
        <f>"85254"</f>
        <v>85254</v>
      </c>
      <c r="AA449" t="str">
        <f>""</f>
        <v/>
      </c>
      <c r="AB449" t="s">
        <v>282</v>
      </c>
    </row>
    <row r="450" spans="1:28" x14ac:dyDescent="0.25">
      <c r="A450">
        <v>4241</v>
      </c>
      <c r="B450" t="str">
        <f t="shared" si="65"/>
        <v>070269000</v>
      </c>
      <c r="C450" t="s">
        <v>1529</v>
      </c>
      <c r="D450">
        <v>5107</v>
      </c>
      <c r="E450" t="str">
        <f>"070269294"</f>
        <v>070269294</v>
      </c>
      <c r="F450" t="s">
        <v>1658</v>
      </c>
      <c r="G450" t="s">
        <v>42</v>
      </c>
      <c r="H450" t="s">
        <v>1659</v>
      </c>
      <c r="I450" t="s">
        <v>1660</v>
      </c>
      <c r="J450" t="s">
        <v>926</v>
      </c>
      <c r="K450" t="str">
        <f t="shared" si="66"/>
        <v>6024492274</v>
      </c>
      <c r="L450" t="str">
        <f>""</f>
        <v/>
      </c>
      <c r="M450" t="str">
        <f>""</f>
        <v/>
      </c>
      <c r="N450" t="str">
        <f>""</f>
        <v/>
      </c>
      <c r="O450" t="s">
        <v>1543</v>
      </c>
      <c r="P450" t="s">
        <v>1534</v>
      </c>
      <c r="R450" t="s">
        <v>964</v>
      </c>
      <c r="S450" t="s">
        <v>36</v>
      </c>
      <c r="T450" t="str">
        <f t="shared" si="67"/>
        <v>85050</v>
      </c>
      <c r="U450" t="str">
        <f>""</f>
        <v/>
      </c>
      <c r="V450" t="s">
        <v>1661</v>
      </c>
      <c r="X450" t="s">
        <v>964</v>
      </c>
      <c r="Y450" t="s">
        <v>36</v>
      </c>
      <c r="Z450" t="str">
        <f>"85024"</f>
        <v>85024</v>
      </c>
      <c r="AA450" t="str">
        <f>""</f>
        <v/>
      </c>
      <c r="AB450" t="s">
        <v>282</v>
      </c>
    </row>
    <row r="451" spans="1:28" x14ac:dyDescent="0.25">
      <c r="A451">
        <v>4241</v>
      </c>
      <c r="B451" t="str">
        <f t="shared" si="65"/>
        <v>070269000</v>
      </c>
      <c r="C451" t="s">
        <v>1529</v>
      </c>
      <c r="D451">
        <v>5108</v>
      </c>
      <c r="E451" t="str">
        <f>"070269295"</f>
        <v>070269295</v>
      </c>
      <c r="F451" t="s">
        <v>1662</v>
      </c>
      <c r="G451" t="s">
        <v>42</v>
      </c>
      <c r="H451" t="s">
        <v>491</v>
      </c>
      <c r="I451" t="s">
        <v>1663</v>
      </c>
      <c r="J451" t="s">
        <v>1652</v>
      </c>
      <c r="K451" t="str">
        <f t="shared" si="66"/>
        <v>6024492274</v>
      </c>
      <c r="L451" t="str">
        <f>""</f>
        <v/>
      </c>
      <c r="M451" t="str">
        <f>""</f>
        <v/>
      </c>
      <c r="N451" t="str">
        <f>""</f>
        <v/>
      </c>
      <c r="O451" t="s">
        <v>1543</v>
      </c>
      <c r="P451" t="s">
        <v>1534</v>
      </c>
      <c r="R451" t="s">
        <v>964</v>
      </c>
      <c r="S451" t="s">
        <v>36</v>
      </c>
      <c r="T451" t="str">
        <f t="shared" si="67"/>
        <v>85050</v>
      </c>
      <c r="U451" t="str">
        <f>""</f>
        <v/>
      </c>
      <c r="V451" t="s">
        <v>1664</v>
      </c>
      <c r="X451" t="s">
        <v>964</v>
      </c>
      <c r="Y451" t="s">
        <v>36</v>
      </c>
      <c r="Z451" t="str">
        <f>"85028"</f>
        <v>85028</v>
      </c>
      <c r="AA451" t="str">
        <f>""</f>
        <v/>
      </c>
      <c r="AB451" t="s">
        <v>282</v>
      </c>
    </row>
    <row r="452" spans="1:28" x14ac:dyDescent="0.25">
      <c r="A452">
        <v>4241</v>
      </c>
      <c r="B452" t="str">
        <f t="shared" si="65"/>
        <v>070269000</v>
      </c>
      <c r="C452" t="s">
        <v>1529</v>
      </c>
      <c r="D452">
        <v>6011</v>
      </c>
      <c r="E452" t="str">
        <f>"070269141"</f>
        <v>070269141</v>
      </c>
      <c r="F452" t="s">
        <v>1665</v>
      </c>
      <c r="G452" t="s">
        <v>42</v>
      </c>
      <c r="H452" t="s">
        <v>1318</v>
      </c>
      <c r="I452" t="s">
        <v>1666</v>
      </c>
      <c r="J452" t="s">
        <v>926</v>
      </c>
      <c r="K452" t="str">
        <f t="shared" si="66"/>
        <v>6024492274</v>
      </c>
      <c r="L452" t="str">
        <f>""</f>
        <v/>
      </c>
      <c r="M452" t="str">
        <f>""</f>
        <v/>
      </c>
      <c r="N452" t="str">
        <f>""</f>
        <v/>
      </c>
      <c r="O452" t="s">
        <v>1543</v>
      </c>
      <c r="P452" t="s">
        <v>1534</v>
      </c>
      <c r="R452" t="s">
        <v>964</v>
      </c>
      <c r="S452" t="s">
        <v>36</v>
      </c>
      <c r="T452" t="str">
        <f t="shared" si="67"/>
        <v>85050</v>
      </c>
      <c r="U452" t="str">
        <f>""</f>
        <v/>
      </c>
      <c r="V452" t="s">
        <v>1667</v>
      </c>
      <c r="X452" t="s">
        <v>1465</v>
      </c>
      <c r="Y452" t="s">
        <v>36</v>
      </c>
      <c r="Z452" t="str">
        <f>"85255"</f>
        <v>85255</v>
      </c>
      <c r="AA452" t="str">
        <f>""</f>
        <v/>
      </c>
      <c r="AB452" t="s">
        <v>282</v>
      </c>
    </row>
    <row r="453" spans="1:28" x14ac:dyDescent="0.25">
      <c r="A453">
        <v>4241</v>
      </c>
      <c r="B453" t="str">
        <f t="shared" si="65"/>
        <v>070269000</v>
      </c>
      <c r="C453" t="s">
        <v>1529</v>
      </c>
      <c r="D453">
        <v>78920</v>
      </c>
      <c r="E453" t="str">
        <f>"070269142"</f>
        <v>070269142</v>
      </c>
      <c r="F453" t="s">
        <v>1668</v>
      </c>
      <c r="G453" t="s">
        <v>42</v>
      </c>
      <c r="H453" t="s">
        <v>1669</v>
      </c>
      <c r="I453" t="s">
        <v>1670</v>
      </c>
      <c r="J453" t="s">
        <v>926</v>
      </c>
      <c r="K453" t="str">
        <f t="shared" si="66"/>
        <v>6024492274</v>
      </c>
      <c r="L453" t="str">
        <f>""</f>
        <v/>
      </c>
      <c r="M453" t="str">
        <f>""</f>
        <v/>
      </c>
      <c r="N453" t="str">
        <f>""</f>
        <v/>
      </c>
      <c r="O453" t="s">
        <v>1543</v>
      </c>
      <c r="P453" t="s">
        <v>1534</v>
      </c>
      <c r="R453" t="s">
        <v>964</v>
      </c>
      <c r="S453" t="s">
        <v>36</v>
      </c>
      <c r="T453" t="str">
        <f t="shared" si="67"/>
        <v>85050</v>
      </c>
      <c r="U453" t="str">
        <f>""</f>
        <v/>
      </c>
      <c r="V453" t="s">
        <v>1671</v>
      </c>
      <c r="X453" t="s">
        <v>964</v>
      </c>
      <c r="Y453" t="s">
        <v>36</v>
      </c>
      <c r="Z453" t="str">
        <f>"85050"</f>
        <v>85050</v>
      </c>
      <c r="AA453" t="str">
        <f>""</f>
        <v/>
      </c>
      <c r="AB453" t="s">
        <v>282</v>
      </c>
    </row>
    <row r="454" spans="1:28" x14ac:dyDescent="0.25">
      <c r="A454">
        <v>4241</v>
      </c>
      <c r="B454" t="str">
        <f t="shared" si="65"/>
        <v>070269000</v>
      </c>
      <c r="C454" t="s">
        <v>1529</v>
      </c>
      <c r="D454">
        <v>79268</v>
      </c>
      <c r="E454" t="str">
        <f>"070269292"</f>
        <v>070269292</v>
      </c>
      <c r="F454" t="s">
        <v>1672</v>
      </c>
      <c r="G454" t="s">
        <v>42</v>
      </c>
      <c r="H454" t="s">
        <v>1673</v>
      </c>
      <c r="I454" t="s">
        <v>1674</v>
      </c>
      <c r="J454" t="s">
        <v>1652</v>
      </c>
      <c r="K454" t="str">
        <f t="shared" si="66"/>
        <v>6024492274</v>
      </c>
      <c r="L454" t="str">
        <f>""</f>
        <v/>
      </c>
      <c r="M454" t="str">
        <f>""</f>
        <v/>
      </c>
      <c r="N454" t="str">
        <f>""</f>
        <v/>
      </c>
      <c r="O454" t="s">
        <v>1543</v>
      </c>
      <c r="P454" t="s">
        <v>1534</v>
      </c>
      <c r="R454" t="s">
        <v>964</v>
      </c>
      <c r="S454" t="s">
        <v>36</v>
      </c>
      <c r="T454" t="str">
        <f t="shared" si="67"/>
        <v>85050</v>
      </c>
      <c r="U454" t="str">
        <f>""</f>
        <v/>
      </c>
      <c r="V454" t="s">
        <v>1675</v>
      </c>
      <c r="X454" t="s">
        <v>964</v>
      </c>
      <c r="Y454" t="s">
        <v>36</v>
      </c>
      <c r="Z454" t="str">
        <f>"85050"</f>
        <v>85050</v>
      </c>
      <c r="AA454" t="str">
        <f>""</f>
        <v/>
      </c>
      <c r="AB454" t="s">
        <v>282</v>
      </c>
    </row>
    <row r="455" spans="1:28" x14ac:dyDescent="0.25">
      <c r="A455">
        <v>4241</v>
      </c>
      <c r="B455" t="str">
        <f t="shared" si="65"/>
        <v>070269000</v>
      </c>
      <c r="C455" t="s">
        <v>1529</v>
      </c>
      <c r="D455">
        <v>79729</v>
      </c>
      <c r="E455" t="str">
        <f>"070269173"</f>
        <v>070269173</v>
      </c>
      <c r="F455" t="s">
        <v>1676</v>
      </c>
      <c r="G455" t="s">
        <v>42</v>
      </c>
      <c r="H455" t="s">
        <v>1677</v>
      </c>
      <c r="I455" t="s">
        <v>1678</v>
      </c>
      <c r="J455" t="s">
        <v>926</v>
      </c>
      <c r="K455" t="str">
        <f t="shared" si="66"/>
        <v>6024492274</v>
      </c>
      <c r="L455" t="str">
        <f>""</f>
        <v/>
      </c>
      <c r="M455" t="str">
        <f>""</f>
        <v/>
      </c>
      <c r="N455" t="str">
        <f>""</f>
        <v/>
      </c>
      <c r="O455" t="s">
        <v>1543</v>
      </c>
      <c r="P455" t="s">
        <v>1534</v>
      </c>
      <c r="R455" t="s">
        <v>964</v>
      </c>
      <c r="S455" t="s">
        <v>36</v>
      </c>
      <c r="T455" t="str">
        <f t="shared" si="67"/>
        <v>85050</v>
      </c>
      <c r="U455" t="str">
        <f>""</f>
        <v/>
      </c>
      <c r="V455" t="s">
        <v>1679</v>
      </c>
      <c r="X455" t="s">
        <v>964</v>
      </c>
      <c r="Y455" t="s">
        <v>36</v>
      </c>
      <c r="Z455" t="str">
        <f>"85024"</f>
        <v>85024</v>
      </c>
      <c r="AA455" t="str">
        <f>""</f>
        <v/>
      </c>
      <c r="AB455" t="s">
        <v>282</v>
      </c>
    </row>
    <row r="456" spans="1:28" x14ac:dyDescent="0.25">
      <c r="A456">
        <v>4241</v>
      </c>
      <c r="B456" t="str">
        <f t="shared" si="65"/>
        <v>070269000</v>
      </c>
      <c r="C456" t="s">
        <v>1529</v>
      </c>
      <c r="D456">
        <v>79781</v>
      </c>
      <c r="E456" t="str">
        <f>"070269148"</f>
        <v>070269148</v>
      </c>
      <c r="F456" t="s">
        <v>1680</v>
      </c>
      <c r="G456" t="s">
        <v>42</v>
      </c>
      <c r="H456" t="s">
        <v>1681</v>
      </c>
      <c r="I456" t="s">
        <v>1682</v>
      </c>
      <c r="J456" t="s">
        <v>926</v>
      </c>
      <c r="K456" t="str">
        <f t="shared" si="66"/>
        <v>6024492274</v>
      </c>
      <c r="L456" t="str">
        <f>""</f>
        <v/>
      </c>
      <c r="M456" t="str">
        <f>""</f>
        <v/>
      </c>
      <c r="N456" t="str">
        <f>""</f>
        <v/>
      </c>
      <c r="O456" t="s">
        <v>1543</v>
      </c>
      <c r="P456" t="s">
        <v>1534</v>
      </c>
      <c r="R456" t="s">
        <v>964</v>
      </c>
      <c r="S456" t="s">
        <v>36</v>
      </c>
      <c r="T456" t="str">
        <f t="shared" si="67"/>
        <v>85050</v>
      </c>
      <c r="U456" t="str">
        <f>""</f>
        <v/>
      </c>
      <c r="V456" t="s">
        <v>1683</v>
      </c>
      <c r="X456" t="s">
        <v>1465</v>
      </c>
      <c r="Y456" t="s">
        <v>36</v>
      </c>
      <c r="Z456" t="str">
        <f>"85255"</f>
        <v>85255</v>
      </c>
      <c r="AA456" t="str">
        <f>""</f>
        <v/>
      </c>
      <c r="AB456" t="s">
        <v>282</v>
      </c>
    </row>
    <row r="457" spans="1:28" x14ac:dyDescent="0.25">
      <c r="A457">
        <v>4241</v>
      </c>
      <c r="B457" t="str">
        <f t="shared" si="65"/>
        <v>070269000</v>
      </c>
      <c r="C457" t="s">
        <v>1529</v>
      </c>
      <c r="D457">
        <v>80055</v>
      </c>
      <c r="E457" t="str">
        <f>"070269136"</f>
        <v>070269136</v>
      </c>
      <c r="F457" t="s">
        <v>1684</v>
      </c>
      <c r="G457" t="s">
        <v>42</v>
      </c>
      <c r="H457" t="s">
        <v>1553</v>
      </c>
      <c r="I457" t="s">
        <v>1685</v>
      </c>
      <c r="J457" t="s">
        <v>926</v>
      </c>
      <c r="K457" t="str">
        <f t="shared" si="66"/>
        <v>6024492274</v>
      </c>
      <c r="L457" t="str">
        <f>""</f>
        <v/>
      </c>
      <c r="M457" t="str">
        <f>""</f>
        <v/>
      </c>
      <c r="N457" t="str">
        <f>""</f>
        <v/>
      </c>
      <c r="O457" t="s">
        <v>1543</v>
      </c>
      <c r="P457" t="s">
        <v>1534</v>
      </c>
      <c r="R457" t="s">
        <v>964</v>
      </c>
      <c r="S457" t="s">
        <v>36</v>
      </c>
      <c r="T457" t="str">
        <f t="shared" si="67"/>
        <v>85050</v>
      </c>
      <c r="U457" t="str">
        <f>""</f>
        <v/>
      </c>
      <c r="V457" t="s">
        <v>1686</v>
      </c>
      <c r="X457" t="s">
        <v>964</v>
      </c>
      <c r="Y457" t="s">
        <v>36</v>
      </c>
      <c r="Z457" t="str">
        <f>"85022"</f>
        <v>85022</v>
      </c>
      <c r="AA457" t="str">
        <f>""</f>
        <v/>
      </c>
      <c r="AB457" t="s">
        <v>282</v>
      </c>
    </row>
    <row r="458" spans="1:28" x14ac:dyDescent="0.25">
      <c r="A458">
        <v>4241</v>
      </c>
      <c r="B458" t="str">
        <f t="shared" si="65"/>
        <v>070269000</v>
      </c>
      <c r="C458" t="s">
        <v>1529</v>
      </c>
      <c r="D458">
        <v>81026</v>
      </c>
      <c r="E458" t="str">
        <f>"070269151"</f>
        <v>070269151</v>
      </c>
      <c r="F458" t="s">
        <v>1687</v>
      </c>
      <c r="G458" t="s">
        <v>42</v>
      </c>
      <c r="H458" t="s">
        <v>1688</v>
      </c>
      <c r="I458" t="s">
        <v>1405</v>
      </c>
      <c r="J458" t="s">
        <v>926</v>
      </c>
      <c r="K458" t="str">
        <f t="shared" si="66"/>
        <v>6024492274</v>
      </c>
      <c r="L458" t="str">
        <f>""</f>
        <v/>
      </c>
      <c r="M458" t="str">
        <f>""</f>
        <v/>
      </c>
      <c r="N458" t="str">
        <f>""</f>
        <v/>
      </c>
      <c r="O458" t="s">
        <v>1543</v>
      </c>
      <c r="P458" t="s">
        <v>1534</v>
      </c>
      <c r="R458" t="s">
        <v>964</v>
      </c>
      <c r="S458" t="s">
        <v>36</v>
      </c>
      <c r="T458" t="str">
        <f t="shared" si="67"/>
        <v>85050</v>
      </c>
      <c r="U458" t="str">
        <f>""</f>
        <v/>
      </c>
      <c r="V458" t="s">
        <v>1689</v>
      </c>
      <c r="X458" t="s">
        <v>964</v>
      </c>
      <c r="Y458" t="s">
        <v>36</v>
      </c>
      <c r="Z458" t="str">
        <f>"85032"</f>
        <v>85032</v>
      </c>
      <c r="AA458" t="str">
        <f>""</f>
        <v/>
      </c>
      <c r="AB458" t="s">
        <v>282</v>
      </c>
    </row>
    <row r="459" spans="1:28" x14ac:dyDescent="0.25">
      <c r="A459">
        <v>4241</v>
      </c>
      <c r="B459" t="str">
        <f t="shared" si="65"/>
        <v>070269000</v>
      </c>
      <c r="C459" t="s">
        <v>1529</v>
      </c>
      <c r="D459">
        <v>88406</v>
      </c>
      <c r="E459" t="str">
        <f>"070269132"</f>
        <v>070269132</v>
      </c>
      <c r="F459" t="s">
        <v>1690</v>
      </c>
      <c r="G459" t="s">
        <v>42</v>
      </c>
      <c r="H459" t="s">
        <v>1691</v>
      </c>
      <c r="I459" t="s">
        <v>1578</v>
      </c>
      <c r="J459" t="s">
        <v>926</v>
      </c>
      <c r="K459" t="str">
        <f t="shared" si="66"/>
        <v>6024492274</v>
      </c>
      <c r="L459" t="str">
        <f>""</f>
        <v/>
      </c>
      <c r="M459" t="str">
        <f>""</f>
        <v/>
      </c>
      <c r="N459" t="str">
        <f>""</f>
        <v/>
      </c>
      <c r="O459" t="s">
        <v>1543</v>
      </c>
      <c r="P459" t="s">
        <v>1534</v>
      </c>
      <c r="R459" t="s">
        <v>964</v>
      </c>
      <c r="S459" t="s">
        <v>36</v>
      </c>
      <c r="T459" t="str">
        <f t="shared" si="67"/>
        <v>85050</v>
      </c>
      <c r="U459" t="str">
        <f>""</f>
        <v/>
      </c>
      <c r="V459" t="s">
        <v>1692</v>
      </c>
      <c r="X459" t="s">
        <v>964</v>
      </c>
      <c r="Y459" t="s">
        <v>36</v>
      </c>
      <c r="Z459" t="str">
        <f>"85050"</f>
        <v>85050</v>
      </c>
      <c r="AA459" t="str">
        <f>""</f>
        <v/>
      </c>
      <c r="AB459" t="s">
        <v>282</v>
      </c>
    </row>
    <row r="460" spans="1:28" x14ac:dyDescent="0.25">
      <c r="A460">
        <v>4241</v>
      </c>
      <c r="B460" t="str">
        <f t="shared" si="65"/>
        <v>070269000</v>
      </c>
      <c r="C460" t="s">
        <v>1529</v>
      </c>
      <c r="D460">
        <v>91754</v>
      </c>
      <c r="E460" t="str">
        <f>"070269113"</f>
        <v>070269113</v>
      </c>
      <c r="F460" t="s">
        <v>1693</v>
      </c>
      <c r="G460" t="s">
        <v>42</v>
      </c>
      <c r="H460" t="s">
        <v>1694</v>
      </c>
      <c r="I460" t="s">
        <v>1695</v>
      </c>
      <c r="J460" t="s">
        <v>926</v>
      </c>
      <c r="K460" t="str">
        <f t="shared" si="66"/>
        <v>6024492274</v>
      </c>
      <c r="L460" t="str">
        <f>""</f>
        <v/>
      </c>
      <c r="M460" t="str">
        <f>""</f>
        <v/>
      </c>
      <c r="N460" t="str">
        <f>""</f>
        <v/>
      </c>
      <c r="O460" t="s">
        <v>1543</v>
      </c>
      <c r="P460" t="s">
        <v>1534</v>
      </c>
      <c r="R460" t="s">
        <v>964</v>
      </c>
      <c r="S460" t="s">
        <v>36</v>
      </c>
      <c r="T460" t="str">
        <f t="shared" si="67"/>
        <v>85050</v>
      </c>
      <c r="U460" t="str">
        <f>""</f>
        <v/>
      </c>
      <c r="V460" t="s">
        <v>1696</v>
      </c>
      <c r="X460" t="s">
        <v>964</v>
      </c>
      <c r="Y460" t="s">
        <v>36</v>
      </c>
      <c r="Z460" t="str">
        <f>"85050"</f>
        <v>85050</v>
      </c>
      <c r="AA460" t="str">
        <f>""</f>
        <v/>
      </c>
      <c r="AB460" t="s">
        <v>282</v>
      </c>
    </row>
    <row r="461" spans="1:28" x14ac:dyDescent="0.25">
      <c r="A461">
        <v>4241</v>
      </c>
      <c r="B461" t="str">
        <f t="shared" si="65"/>
        <v>070269000</v>
      </c>
      <c r="C461" t="s">
        <v>1529</v>
      </c>
      <c r="D461">
        <v>92611</v>
      </c>
      <c r="E461" t="str">
        <f>"070269065"</f>
        <v>070269065</v>
      </c>
      <c r="F461" t="s">
        <v>1697</v>
      </c>
      <c r="G461" t="s">
        <v>42</v>
      </c>
      <c r="H461" t="s">
        <v>1698</v>
      </c>
      <c r="I461" t="s">
        <v>1699</v>
      </c>
      <c r="J461" t="s">
        <v>926</v>
      </c>
      <c r="K461" t="str">
        <f t="shared" si="66"/>
        <v>6024492274</v>
      </c>
      <c r="L461" t="str">
        <f>""</f>
        <v/>
      </c>
      <c r="M461" t="str">
        <f>""</f>
        <v/>
      </c>
      <c r="N461" t="str">
        <f>""</f>
        <v/>
      </c>
      <c r="O461" t="s">
        <v>1543</v>
      </c>
      <c r="P461" t="s">
        <v>1534</v>
      </c>
      <c r="R461" t="s">
        <v>964</v>
      </c>
      <c r="S461" t="s">
        <v>36</v>
      </c>
      <c r="T461" t="str">
        <f t="shared" si="67"/>
        <v>85050</v>
      </c>
      <c r="U461" t="str">
        <f>""</f>
        <v/>
      </c>
      <c r="V461" t="s">
        <v>1700</v>
      </c>
      <c r="X461" t="s">
        <v>964</v>
      </c>
      <c r="Y461" t="s">
        <v>36</v>
      </c>
      <c r="Z461" t="str">
        <f>"85032"</f>
        <v>85032</v>
      </c>
      <c r="AA461" t="str">
        <f>""</f>
        <v/>
      </c>
      <c r="AB461" t="s">
        <v>282</v>
      </c>
    </row>
    <row r="462" spans="1:28" x14ac:dyDescent="0.25">
      <c r="A462">
        <v>4242</v>
      </c>
      <c r="B462" t="str">
        <f t="shared" ref="B462:B505" si="68">"070280000"</f>
        <v>070280000</v>
      </c>
      <c r="C462" t="s">
        <v>1701</v>
      </c>
      <c r="D462">
        <v>0</v>
      </c>
      <c r="E462" t="str">
        <f>""</f>
        <v/>
      </c>
      <c r="G462" t="s">
        <v>29</v>
      </c>
      <c r="H462" t="s">
        <v>1702</v>
      </c>
      <c r="I462" t="s">
        <v>1703</v>
      </c>
      <c r="J462" t="s">
        <v>1704</v>
      </c>
      <c r="K462" t="str">
        <f>"4808127246"</f>
        <v>4808127246</v>
      </c>
      <c r="L462" t="str">
        <f>""</f>
        <v/>
      </c>
      <c r="M462" t="str">
        <f>""</f>
        <v/>
      </c>
      <c r="N462" t="str">
        <f>""</f>
        <v/>
      </c>
      <c r="O462" t="s">
        <v>1705</v>
      </c>
      <c r="P462" t="s">
        <v>1706</v>
      </c>
      <c r="R462" t="s">
        <v>1041</v>
      </c>
      <c r="S462" t="s">
        <v>36</v>
      </c>
      <c r="T462" t="str">
        <f>"85224"</f>
        <v>85224</v>
      </c>
      <c r="U462" t="str">
        <f>""</f>
        <v/>
      </c>
      <c r="V462" t="s">
        <v>1707</v>
      </c>
      <c r="X462" t="s">
        <v>1041</v>
      </c>
      <c r="Y462" t="s">
        <v>36</v>
      </c>
      <c r="Z462" t="str">
        <f>"85224"</f>
        <v>85224</v>
      </c>
      <c r="AA462" t="str">
        <f>""</f>
        <v/>
      </c>
      <c r="AB462" t="s">
        <v>40</v>
      </c>
    </row>
    <row r="463" spans="1:28" x14ac:dyDescent="0.25">
      <c r="A463">
        <v>4242</v>
      </c>
      <c r="B463" t="str">
        <f t="shared" si="68"/>
        <v>070280000</v>
      </c>
      <c r="C463" t="s">
        <v>1701</v>
      </c>
      <c r="D463">
        <v>5110</v>
      </c>
      <c r="E463" t="str">
        <f>"070280104"</f>
        <v>070280104</v>
      </c>
      <c r="F463" t="s">
        <v>1708</v>
      </c>
      <c r="G463" t="s">
        <v>42</v>
      </c>
      <c r="H463" t="s">
        <v>1709</v>
      </c>
      <c r="I463" t="s">
        <v>1710</v>
      </c>
      <c r="J463" t="s">
        <v>307</v>
      </c>
      <c r="K463" t="str">
        <f t="shared" ref="K463:K505" si="69">"4808127240"</f>
        <v>4808127240</v>
      </c>
      <c r="L463" t="str">
        <f>""</f>
        <v/>
      </c>
      <c r="M463" t="str">
        <f>""</f>
        <v/>
      </c>
      <c r="N463" t="str">
        <f>""</f>
        <v/>
      </c>
      <c r="O463" t="s">
        <v>1711</v>
      </c>
      <c r="P463" t="s">
        <v>1712</v>
      </c>
      <c r="R463" t="s">
        <v>1041</v>
      </c>
      <c r="S463" t="s">
        <v>36</v>
      </c>
      <c r="T463" t="str">
        <f t="shared" ref="T463:T468" si="70">"85225"</f>
        <v>85225</v>
      </c>
      <c r="U463" t="str">
        <f>""</f>
        <v/>
      </c>
      <c r="V463" t="s">
        <v>1712</v>
      </c>
      <c r="X463" t="s">
        <v>1041</v>
      </c>
      <c r="Y463" t="s">
        <v>36</v>
      </c>
      <c r="Z463" t="str">
        <f t="shared" ref="Z463:Z468" si="71">"85225"</f>
        <v>85225</v>
      </c>
      <c r="AA463" t="str">
        <f>""</f>
        <v/>
      </c>
      <c r="AB463" t="s">
        <v>40</v>
      </c>
    </row>
    <row r="464" spans="1:28" x14ac:dyDescent="0.25">
      <c r="A464">
        <v>4242</v>
      </c>
      <c r="B464" t="str">
        <f t="shared" si="68"/>
        <v>070280000</v>
      </c>
      <c r="C464" t="s">
        <v>1701</v>
      </c>
      <c r="D464">
        <v>5111</v>
      </c>
      <c r="E464" t="str">
        <f>"070280105"</f>
        <v>070280105</v>
      </c>
      <c r="F464" t="s">
        <v>1713</v>
      </c>
      <c r="G464" t="s">
        <v>42</v>
      </c>
      <c r="H464" t="s">
        <v>1709</v>
      </c>
      <c r="I464" t="s">
        <v>1710</v>
      </c>
      <c r="J464" t="s">
        <v>307</v>
      </c>
      <c r="K464" t="str">
        <f t="shared" si="69"/>
        <v>4808127240</v>
      </c>
      <c r="L464" t="str">
        <f>""</f>
        <v/>
      </c>
      <c r="M464" t="str">
        <f>""</f>
        <v/>
      </c>
      <c r="N464" t="str">
        <f>""</f>
        <v/>
      </c>
      <c r="O464" t="s">
        <v>1711</v>
      </c>
      <c r="P464" t="s">
        <v>1714</v>
      </c>
      <c r="R464" t="s">
        <v>1041</v>
      </c>
      <c r="S464" t="s">
        <v>36</v>
      </c>
      <c r="T464" t="str">
        <f t="shared" si="70"/>
        <v>85225</v>
      </c>
      <c r="U464" t="str">
        <f>""</f>
        <v/>
      </c>
      <c r="V464" t="s">
        <v>1714</v>
      </c>
      <c r="X464" t="s">
        <v>1041</v>
      </c>
      <c r="Y464" t="s">
        <v>36</v>
      </c>
      <c r="Z464" t="str">
        <f t="shared" si="71"/>
        <v>85225</v>
      </c>
      <c r="AA464" t="str">
        <f>""</f>
        <v/>
      </c>
      <c r="AB464" t="s">
        <v>40</v>
      </c>
    </row>
    <row r="465" spans="1:28" x14ac:dyDescent="0.25">
      <c r="A465">
        <v>4242</v>
      </c>
      <c r="B465" t="str">
        <f t="shared" si="68"/>
        <v>070280000</v>
      </c>
      <c r="C465" t="s">
        <v>1701</v>
      </c>
      <c r="D465">
        <v>5113</v>
      </c>
      <c r="E465" t="str">
        <f>"070280107"</f>
        <v>070280107</v>
      </c>
      <c r="F465" t="s">
        <v>1715</v>
      </c>
      <c r="G465" t="s">
        <v>42</v>
      </c>
      <c r="H465" t="s">
        <v>1709</v>
      </c>
      <c r="I465" t="s">
        <v>1710</v>
      </c>
      <c r="J465" t="s">
        <v>307</v>
      </c>
      <c r="K465" t="str">
        <f t="shared" si="69"/>
        <v>4808127240</v>
      </c>
      <c r="L465" t="str">
        <f>""</f>
        <v/>
      </c>
      <c r="M465" t="str">
        <f>""</f>
        <v/>
      </c>
      <c r="N465" t="str">
        <f>""</f>
        <v/>
      </c>
      <c r="O465" t="s">
        <v>1711</v>
      </c>
      <c r="P465" t="s">
        <v>1716</v>
      </c>
      <c r="R465" t="s">
        <v>1041</v>
      </c>
      <c r="S465" t="s">
        <v>36</v>
      </c>
      <c r="T465" t="str">
        <f t="shared" si="70"/>
        <v>85225</v>
      </c>
      <c r="U465" t="str">
        <f>""</f>
        <v/>
      </c>
      <c r="V465" t="s">
        <v>1716</v>
      </c>
      <c r="X465" t="s">
        <v>1041</v>
      </c>
      <c r="Y465" t="s">
        <v>36</v>
      </c>
      <c r="Z465" t="str">
        <f t="shared" si="71"/>
        <v>85225</v>
      </c>
      <c r="AA465" t="str">
        <f>""</f>
        <v/>
      </c>
      <c r="AB465" t="s">
        <v>40</v>
      </c>
    </row>
    <row r="466" spans="1:28" x14ac:dyDescent="0.25">
      <c r="A466">
        <v>4242</v>
      </c>
      <c r="B466" t="str">
        <f t="shared" si="68"/>
        <v>070280000</v>
      </c>
      <c r="C466" t="s">
        <v>1701</v>
      </c>
      <c r="D466">
        <v>5114</v>
      </c>
      <c r="E466" t="str">
        <f>"070280108"</f>
        <v>070280108</v>
      </c>
      <c r="F466" t="s">
        <v>1717</v>
      </c>
      <c r="G466" t="s">
        <v>42</v>
      </c>
      <c r="H466" t="s">
        <v>1709</v>
      </c>
      <c r="I466" t="s">
        <v>1710</v>
      </c>
      <c r="J466" t="s">
        <v>307</v>
      </c>
      <c r="K466" t="str">
        <f t="shared" si="69"/>
        <v>4808127240</v>
      </c>
      <c r="L466" t="str">
        <f>""</f>
        <v/>
      </c>
      <c r="M466" t="str">
        <f>""</f>
        <v/>
      </c>
      <c r="N466" t="str">
        <f>""</f>
        <v/>
      </c>
      <c r="O466" t="s">
        <v>1711</v>
      </c>
      <c r="P466" t="s">
        <v>1718</v>
      </c>
      <c r="R466" t="s">
        <v>1041</v>
      </c>
      <c r="S466" t="s">
        <v>36</v>
      </c>
      <c r="T466" t="str">
        <f t="shared" si="70"/>
        <v>85225</v>
      </c>
      <c r="U466" t="str">
        <f>""</f>
        <v/>
      </c>
      <c r="V466" t="s">
        <v>1718</v>
      </c>
      <c r="X466" t="s">
        <v>1041</v>
      </c>
      <c r="Y466" t="s">
        <v>36</v>
      </c>
      <c r="Z466" t="str">
        <f t="shared" si="71"/>
        <v>85225</v>
      </c>
      <c r="AA466" t="str">
        <f>""</f>
        <v/>
      </c>
      <c r="AB466" t="s">
        <v>40</v>
      </c>
    </row>
    <row r="467" spans="1:28" x14ac:dyDescent="0.25">
      <c r="A467">
        <v>4242</v>
      </c>
      <c r="B467" t="str">
        <f t="shared" si="68"/>
        <v>070280000</v>
      </c>
      <c r="C467" t="s">
        <v>1701</v>
      </c>
      <c r="D467">
        <v>5115</v>
      </c>
      <c r="E467" t="str">
        <f>"070280109"</f>
        <v>070280109</v>
      </c>
      <c r="F467" t="s">
        <v>1719</v>
      </c>
      <c r="G467" t="s">
        <v>42</v>
      </c>
      <c r="H467" t="s">
        <v>1709</v>
      </c>
      <c r="I467" t="s">
        <v>1710</v>
      </c>
      <c r="J467" t="s">
        <v>307</v>
      </c>
      <c r="K467" t="str">
        <f t="shared" si="69"/>
        <v>4808127240</v>
      </c>
      <c r="L467" t="str">
        <f>""</f>
        <v/>
      </c>
      <c r="M467" t="str">
        <f>""</f>
        <v/>
      </c>
      <c r="N467" t="str">
        <f>""</f>
        <v/>
      </c>
      <c r="O467" t="s">
        <v>1711</v>
      </c>
      <c r="P467" t="s">
        <v>1720</v>
      </c>
      <c r="R467" t="s">
        <v>1041</v>
      </c>
      <c r="S467" t="s">
        <v>36</v>
      </c>
      <c r="T467" t="str">
        <f t="shared" si="70"/>
        <v>85225</v>
      </c>
      <c r="U467" t="str">
        <f>""</f>
        <v/>
      </c>
      <c r="V467" t="s">
        <v>1720</v>
      </c>
      <c r="X467" t="s">
        <v>1041</v>
      </c>
      <c r="Y467" t="s">
        <v>36</v>
      </c>
      <c r="Z467" t="str">
        <f t="shared" si="71"/>
        <v>85225</v>
      </c>
      <c r="AA467" t="str">
        <f>""</f>
        <v/>
      </c>
      <c r="AB467" t="s">
        <v>40</v>
      </c>
    </row>
    <row r="468" spans="1:28" x14ac:dyDescent="0.25">
      <c r="A468">
        <v>4242</v>
      </c>
      <c r="B468" t="str">
        <f t="shared" si="68"/>
        <v>070280000</v>
      </c>
      <c r="C468" t="s">
        <v>1701</v>
      </c>
      <c r="D468">
        <v>5116</v>
      </c>
      <c r="E468" t="str">
        <f>"070280111"</f>
        <v>070280111</v>
      </c>
      <c r="F468" t="s">
        <v>1721</v>
      </c>
      <c r="G468" t="s">
        <v>42</v>
      </c>
      <c r="H468" t="s">
        <v>1709</v>
      </c>
      <c r="I468" t="s">
        <v>1710</v>
      </c>
      <c r="J468" t="s">
        <v>307</v>
      </c>
      <c r="K468" t="str">
        <f t="shared" si="69"/>
        <v>4808127240</v>
      </c>
      <c r="L468" t="str">
        <f>""</f>
        <v/>
      </c>
      <c r="M468" t="str">
        <f>""</f>
        <v/>
      </c>
      <c r="N468" t="str">
        <f>""</f>
        <v/>
      </c>
      <c r="O468" t="s">
        <v>1711</v>
      </c>
      <c r="P468" t="s">
        <v>1722</v>
      </c>
      <c r="R468" t="s">
        <v>1041</v>
      </c>
      <c r="S468" t="s">
        <v>36</v>
      </c>
      <c r="T468" t="str">
        <f t="shared" si="70"/>
        <v>85225</v>
      </c>
      <c r="U468" t="str">
        <f>""</f>
        <v/>
      </c>
      <c r="V468" t="s">
        <v>1722</v>
      </c>
      <c r="X468" t="s">
        <v>1041</v>
      </c>
      <c r="Y468" t="s">
        <v>36</v>
      </c>
      <c r="Z468" t="str">
        <f t="shared" si="71"/>
        <v>85225</v>
      </c>
      <c r="AA468" t="str">
        <f>""</f>
        <v/>
      </c>
      <c r="AB468" t="s">
        <v>40</v>
      </c>
    </row>
    <row r="469" spans="1:28" x14ac:dyDescent="0.25">
      <c r="A469">
        <v>4242</v>
      </c>
      <c r="B469" t="str">
        <f t="shared" si="68"/>
        <v>070280000</v>
      </c>
      <c r="C469" t="s">
        <v>1701</v>
      </c>
      <c r="D469">
        <v>5117</v>
      </c>
      <c r="E469" t="str">
        <f>"070280112"</f>
        <v>070280112</v>
      </c>
      <c r="F469" t="s">
        <v>1723</v>
      </c>
      <c r="G469" t="s">
        <v>42</v>
      </c>
      <c r="H469" t="s">
        <v>1709</v>
      </c>
      <c r="I469" t="s">
        <v>1710</v>
      </c>
      <c r="J469" t="s">
        <v>307</v>
      </c>
      <c r="K469" t="str">
        <f t="shared" si="69"/>
        <v>4808127240</v>
      </c>
      <c r="L469" t="str">
        <f>""</f>
        <v/>
      </c>
      <c r="M469" t="str">
        <f>""</f>
        <v/>
      </c>
      <c r="N469" t="str">
        <f>""</f>
        <v/>
      </c>
      <c r="O469" t="s">
        <v>1711</v>
      </c>
      <c r="P469" t="s">
        <v>1724</v>
      </c>
      <c r="R469" t="s">
        <v>1041</v>
      </c>
      <c r="S469" t="s">
        <v>36</v>
      </c>
      <c r="T469" t="str">
        <f>"85248"</f>
        <v>85248</v>
      </c>
      <c r="U469" t="str">
        <f>""</f>
        <v/>
      </c>
      <c r="V469" t="s">
        <v>1724</v>
      </c>
      <c r="X469" t="s">
        <v>1041</v>
      </c>
      <c r="Y469" t="s">
        <v>36</v>
      </c>
      <c r="Z469" t="str">
        <f>"85248"</f>
        <v>85248</v>
      </c>
      <c r="AA469" t="str">
        <f>""</f>
        <v/>
      </c>
      <c r="AB469" t="s">
        <v>40</v>
      </c>
    </row>
    <row r="470" spans="1:28" x14ac:dyDescent="0.25">
      <c r="A470">
        <v>4242</v>
      </c>
      <c r="B470" t="str">
        <f t="shared" si="68"/>
        <v>070280000</v>
      </c>
      <c r="C470" t="s">
        <v>1701</v>
      </c>
      <c r="D470">
        <v>5118</v>
      </c>
      <c r="E470" t="str">
        <f>"070280113"</f>
        <v>070280113</v>
      </c>
      <c r="F470" t="s">
        <v>1725</v>
      </c>
      <c r="G470" t="s">
        <v>42</v>
      </c>
      <c r="H470" t="s">
        <v>1709</v>
      </c>
      <c r="I470" t="s">
        <v>1710</v>
      </c>
      <c r="J470" t="s">
        <v>307</v>
      </c>
      <c r="K470" t="str">
        <f t="shared" si="69"/>
        <v>4808127240</v>
      </c>
      <c r="L470" t="str">
        <f>""</f>
        <v/>
      </c>
      <c r="M470" t="str">
        <f>""</f>
        <v/>
      </c>
      <c r="N470" t="str">
        <f>""</f>
        <v/>
      </c>
      <c r="O470" t="s">
        <v>1711</v>
      </c>
      <c r="P470" t="s">
        <v>1726</v>
      </c>
      <c r="R470" t="s">
        <v>1041</v>
      </c>
      <c r="S470" t="s">
        <v>36</v>
      </c>
      <c r="T470" t="str">
        <f>"85225"</f>
        <v>85225</v>
      </c>
      <c r="U470" t="str">
        <f>""</f>
        <v/>
      </c>
      <c r="V470" t="s">
        <v>1726</v>
      </c>
      <c r="X470" t="s">
        <v>1041</v>
      </c>
      <c r="Y470" t="s">
        <v>36</v>
      </c>
      <c r="Z470" t="str">
        <f>"85225"</f>
        <v>85225</v>
      </c>
      <c r="AA470" t="str">
        <f>""</f>
        <v/>
      </c>
      <c r="AB470" t="s">
        <v>40</v>
      </c>
    </row>
    <row r="471" spans="1:28" x14ac:dyDescent="0.25">
      <c r="A471">
        <v>4242</v>
      </c>
      <c r="B471" t="str">
        <f t="shared" si="68"/>
        <v>070280000</v>
      </c>
      <c r="C471" t="s">
        <v>1701</v>
      </c>
      <c r="D471">
        <v>5119</v>
      </c>
      <c r="E471" t="str">
        <f>"070280114"</f>
        <v>070280114</v>
      </c>
      <c r="F471" t="s">
        <v>1727</v>
      </c>
      <c r="G471" t="s">
        <v>42</v>
      </c>
      <c r="H471" t="s">
        <v>1709</v>
      </c>
      <c r="I471" t="s">
        <v>1710</v>
      </c>
      <c r="J471" t="s">
        <v>307</v>
      </c>
      <c r="K471" t="str">
        <f t="shared" si="69"/>
        <v>4808127240</v>
      </c>
      <c r="L471" t="str">
        <f>""</f>
        <v/>
      </c>
      <c r="M471" t="str">
        <f>""</f>
        <v/>
      </c>
      <c r="N471" t="str">
        <f>""</f>
        <v/>
      </c>
      <c r="O471" t="s">
        <v>1711</v>
      </c>
      <c r="P471" t="s">
        <v>1728</v>
      </c>
      <c r="R471" t="s">
        <v>1041</v>
      </c>
      <c r="S471" t="s">
        <v>36</v>
      </c>
      <c r="T471" t="str">
        <f>"85224"</f>
        <v>85224</v>
      </c>
      <c r="U471" t="str">
        <f>""</f>
        <v/>
      </c>
      <c r="V471" t="s">
        <v>1728</v>
      </c>
      <c r="X471" t="s">
        <v>1041</v>
      </c>
      <c r="Y471" t="s">
        <v>36</v>
      </c>
      <c r="Z471" t="str">
        <f>"85224"</f>
        <v>85224</v>
      </c>
      <c r="AA471" t="str">
        <f>""</f>
        <v/>
      </c>
      <c r="AB471" t="s">
        <v>40</v>
      </c>
    </row>
    <row r="472" spans="1:28" x14ac:dyDescent="0.25">
      <c r="A472">
        <v>4242</v>
      </c>
      <c r="B472" t="str">
        <f t="shared" si="68"/>
        <v>070280000</v>
      </c>
      <c r="C472" t="s">
        <v>1701</v>
      </c>
      <c r="D472">
        <v>5120</v>
      </c>
      <c r="E472" t="str">
        <f>"070280115"</f>
        <v>070280115</v>
      </c>
      <c r="F472" t="s">
        <v>1729</v>
      </c>
      <c r="G472" t="s">
        <v>42</v>
      </c>
      <c r="H472" t="s">
        <v>1709</v>
      </c>
      <c r="I472" t="s">
        <v>1710</v>
      </c>
      <c r="J472" t="s">
        <v>307</v>
      </c>
      <c r="K472" t="str">
        <f t="shared" si="69"/>
        <v>4808127240</v>
      </c>
      <c r="L472" t="str">
        <f>""</f>
        <v/>
      </c>
      <c r="M472" t="str">
        <f>""</f>
        <v/>
      </c>
      <c r="N472" t="str">
        <f>""</f>
        <v/>
      </c>
      <c r="O472" t="s">
        <v>1711</v>
      </c>
      <c r="P472" t="s">
        <v>1730</v>
      </c>
      <c r="R472" t="s">
        <v>1275</v>
      </c>
      <c r="S472" t="s">
        <v>36</v>
      </c>
      <c r="T472" t="str">
        <f>"85298"</f>
        <v>85298</v>
      </c>
      <c r="U472" t="str">
        <f>""</f>
        <v/>
      </c>
      <c r="V472" t="s">
        <v>1730</v>
      </c>
      <c r="X472" t="s">
        <v>1275</v>
      </c>
      <c r="Y472" t="s">
        <v>36</v>
      </c>
      <c r="Z472" t="str">
        <f>"85298"</f>
        <v>85298</v>
      </c>
      <c r="AA472" t="str">
        <f>""</f>
        <v/>
      </c>
      <c r="AB472" t="s">
        <v>40</v>
      </c>
    </row>
    <row r="473" spans="1:28" x14ac:dyDescent="0.25">
      <c r="A473">
        <v>4242</v>
      </c>
      <c r="B473" t="str">
        <f t="shared" si="68"/>
        <v>070280000</v>
      </c>
      <c r="C473" t="s">
        <v>1701</v>
      </c>
      <c r="D473">
        <v>5121</v>
      </c>
      <c r="E473" t="str">
        <f>"070280116"</f>
        <v>070280116</v>
      </c>
      <c r="F473" t="s">
        <v>1731</v>
      </c>
      <c r="G473" t="s">
        <v>42</v>
      </c>
      <c r="H473" t="s">
        <v>1709</v>
      </c>
      <c r="I473" t="s">
        <v>1710</v>
      </c>
      <c r="J473" t="s">
        <v>307</v>
      </c>
      <c r="K473" t="str">
        <f t="shared" si="69"/>
        <v>4808127240</v>
      </c>
      <c r="L473" t="str">
        <f>""</f>
        <v/>
      </c>
      <c r="M473" t="str">
        <f>""</f>
        <v/>
      </c>
      <c r="N473" t="str">
        <f>""</f>
        <v/>
      </c>
      <c r="O473" t="s">
        <v>1711</v>
      </c>
      <c r="P473" t="s">
        <v>1732</v>
      </c>
      <c r="R473" t="s">
        <v>1041</v>
      </c>
      <c r="S473" t="s">
        <v>36</v>
      </c>
      <c r="T473" t="str">
        <f>"85224"</f>
        <v>85224</v>
      </c>
      <c r="U473" t="str">
        <f>""</f>
        <v/>
      </c>
      <c r="V473" t="s">
        <v>1732</v>
      </c>
      <c r="X473" t="s">
        <v>1041</v>
      </c>
      <c r="Y473" t="s">
        <v>36</v>
      </c>
      <c r="Z473" t="str">
        <f>"85224"</f>
        <v>85224</v>
      </c>
      <c r="AA473" t="str">
        <f>""</f>
        <v/>
      </c>
      <c r="AB473" t="s">
        <v>40</v>
      </c>
    </row>
    <row r="474" spans="1:28" x14ac:dyDescent="0.25">
      <c r="A474">
        <v>4242</v>
      </c>
      <c r="B474" t="str">
        <f t="shared" si="68"/>
        <v>070280000</v>
      </c>
      <c r="C474" t="s">
        <v>1701</v>
      </c>
      <c r="D474">
        <v>5122</v>
      </c>
      <c r="E474" t="str">
        <f>"070280117"</f>
        <v>070280117</v>
      </c>
      <c r="F474" t="s">
        <v>1733</v>
      </c>
      <c r="G474" t="s">
        <v>42</v>
      </c>
      <c r="H474" t="s">
        <v>1709</v>
      </c>
      <c r="I474" t="s">
        <v>1710</v>
      </c>
      <c r="J474" t="s">
        <v>307</v>
      </c>
      <c r="K474" t="str">
        <f t="shared" si="69"/>
        <v>4808127240</v>
      </c>
      <c r="L474" t="str">
        <f>""</f>
        <v/>
      </c>
      <c r="M474" t="str">
        <f>""</f>
        <v/>
      </c>
      <c r="N474" t="str">
        <f>""</f>
        <v/>
      </c>
      <c r="O474" t="s">
        <v>1711</v>
      </c>
      <c r="P474" t="s">
        <v>1734</v>
      </c>
      <c r="R474" t="s">
        <v>1041</v>
      </c>
      <c r="S474" t="s">
        <v>36</v>
      </c>
      <c r="T474" t="str">
        <f>"85225"</f>
        <v>85225</v>
      </c>
      <c r="U474" t="str">
        <f>""</f>
        <v/>
      </c>
      <c r="V474" t="s">
        <v>1734</v>
      </c>
      <c r="X474" t="s">
        <v>1041</v>
      </c>
      <c r="Y474" t="s">
        <v>36</v>
      </c>
      <c r="Z474" t="str">
        <f>"85225"</f>
        <v>85225</v>
      </c>
      <c r="AA474" t="str">
        <f>""</f>
        <v/>
      </c>
      <c r="AB474" t="s">
        <v>40</v>
      </c>
    </row>
    <row r="475" spans="1:28" x14ac:dyDescent="0.25">
      <c r="A475">
        <v>4242</v>
      </c>
      <c r="B475" t="str">
        <f t="shared" si="68"/>
        <v>070280000</v>
      </c>
      <c r="C475" t="s">
        <v>1701</v>
      </c>
      <c r="D475">
        <v>5123</v>
      </c>
      <c r="E475" t="str">
        <f>"070280118"</f>
        <v>070280118</v>
      </c>
      <c r="F475" t="s">
        <v>1735</v>
      </c>
      <c r="G475" t="s">
        <v>42</v>
      </c>
      <c r="H475" t="s">
        <v>1709</v>
      </c>
      <c r="I475" t="s">
        <v>1710</v>
      </c>
      <c r="J475" t="s">
        <v>307</v>
      </c>
      <c r="K475" t="str">
        <f t="shared" si="69"/>
        <v>4808127240</v>
      </c>
      <c r="L475" t="str">
        <f>""</f>
        <v/>
      </c>
      <c r="M475" t="str">
        <f>""</f>
        <v/>
      </c>
      <c r="N475" t="str">
        <f>""</f>
        <v/>
      </c>
      <c r="O475" t="s">
        <v>1711</v>
      </c>
      <c r="P475" t="s">
        <v>1736</v>
      </c>
      <c r="R475" t="s">
        <v>1041</v>
      </c>
      <c r="S475" t="s">
        <v>36</v>
      </c>
      <c r="T475" t="str">
        <f>"85224"</f>
        <v>85224</v>
      </c>
      <c r="U475" t="str">
        <f>""</f>
        <v/>
      </c>
      <c r="V475" t="s">
        <v>1736</v>
      </c>
      <c r="X475" t="s">
        <v>1041</v>
      </c>
      <c r="Y475" t="s">
        <v>36</v>
      </c>
      <c r="Z475" t="str">
        <f>"85224"</f>
        <v>85224</v>
      </c>
      <c r="AA475" t="str">
        <f>""</f>
        <v/>
      </c>
      <c r="AB475" t="s">
        <v>40</v>
      </c>
    </row>
    <row r="476" spans="1:28" x14ac:dyDescent="0.25">
      <c r="A476">
        <v>4242</v>
      </c>
      <c r="B476" t="str">
        <f t="shared" si="68"/>
        <v>070280000</v>
      </c>
      <c r="C476" t="s">
        <v>1701</v>
      </c>
      <c r="D476">
        <v>5124</v>
      </c>
      <c r="E476" t="str">
        <f>"070280119"</f>
        <v>070280119</v>
      </c>
      <c r="F476" t="s">
        <v>1737</v>
      </c>
      <c r="G476" t="s">
        <v>42</v>
      </c>
      <c r="H476" t="s">
        <v>1709</v>
      </c>
      <c r="I476" t="s">
        <v>1710</v>
      </c>
      <c r="J476" t="s">
        <v>307</v>
      </c>
      <c r="K476" t="str">
        <f t="shared" si="69"/>
        <v>4808127240</v>
      </c>
      <c r="L476" t="str">
        <f>""</f>
        <v/>
      </c>
      <c r="M476" t="str">
        <f>""</f>
        <v/>
      </c>
      <c r="N476" t="str">
        <f>""</f>
        <v/>
      </c>
      <c r="O476" t="s">
        <v>1711</v>
      </c>
      <c r="P476" t="s">
        <v>1738</v>
      </c>
      <c r="R476" t="s">
        <v>1041</v>
      </c>
      <c r="S476" t="s">
        <v>36</v>
      </c>
      <c r="T476" t="str">
        <f>"85225"</f>
        <v>85225</v>
      </c>
      <c r="U476" t="str">
        <f>""</f>
        <v/>
      </c>
      <c r="V476" t="s">
        <v>1738</v>
      </c>
      <c r="X476" t="s">
        <v>1041</v>
      </c>
      <c r="Y476" t="s">
        <v>36</v>
      </c>
      <c r="Z476" t="str">
        <f>"85225"</f>
        <v>85225</v>
      </c>
      <c r="AA476" t="str">
        <f>""</f>
        <v/>
      </c>
      <c r="AB476" t="s">
        <v>40</v>
      </c>
    </row>
    <row r="477" spans="1:28" x14ac:dyDescent="0.25">
      <c r="A477">
        <v>4242</v>
      </c>
      <c r="B477" t="str">
        <f t="shared" si="68"/>
        <v>070280000</v>
      </c>
      <c r="C477" t="s">
        <v>1701</v>
      </c>
      <c r="D477">
        <v>5125</v>
      </c>
      <c r="E477" t="str">
        <f>"070280120"</f>
        <v>070280120</v>
      </c>
      <c r="F477" t="s">
        <v>1739</v>
      </c>
      <c r="G477" t="s">
        <v>42</v>
      </c>
      <c r="H477" t="s">
        <v>1709</v>
      </c>
      <c r="I477" t="s">
        <v>1710</v>
      </c>
      <c r="J477" t="s">
        <v>307</v>
      </c>
      <c r="K477" t="str">
        <f t="shared" si="69"/>
        <v>4808127240</v>
      </c>
      <c r="L477" t="str">
        <f>""</f>
        <v/>
      </c>
      <c r="M477" t="str">
        <f>""</f>
        <v/>
      </c>
      <c r="N477" t="str">
        <f>""</f>
        <v/>
      </c>
      <c r="O477" t="s">
        <v>1711</v>
      </c>
      <c r="P477" t="s">
        <v>1740</v>
      </c>
      <c r="R477" t="s">
        <v>1041</v>
      </c>
      <c r="S477" t="s">
        <v>36</v>
      </c>
      <c r="T477" t="str">
        <f>"85248"</f>
        <v>85248</v>
      </c>
      <c r="U477" t="str">
        <f>""</f>
        <v/>
      </c>
      <c r="V477" t="s">
        <v>1740</v>
      </c>
      <c r="X477" t="s">
        <v>1041</v>
      </c>
      <c r="Y477" t="s">
        <v>36</v>
      </c>
      <c r="Z477" t="str">
        <f>"85248"</f>
        <v>85248</v>
      </c>
      <c r="AA477" t="str">
        <f>""</f>
        <v/>
      </c>
      <c r="AB477" t="s">
        <v>40</v>
      </c>
    </row>
    <row r="478" spans="1:28" x14ac:dyDescent="0.25">
      <c r="A478">
        <v>4242</v>
      </c>
      <c r="B478" t="str">
        <f t="shared" si="68"/>
        <v>070280000</v>
      </c>
      <c r="C478" t="s">
        <v>1701</v>
      </c>
      <c r="D478">
        <v>5126</v>
      </c>
      <c r="E478" t="str">
        <f>"070280122"</f>
        <v>070280122</v>
      </c>
      <c r="F478" t="s">
        <v>1741</v>
      </c>
      <c r="G478" t="s">
        <v>42</v>
      </c>
      <c r="H478" t="s">
        <v>1709</v>
      </c>
      <c r="I478" t="s">
        <v>1710</v>
      </c>
      <c r="J478" t="s">
        <v>307</v>
      </c>
      <c r="K478" t="str">
        <f t="shared" si="69"/>
        <v>4808127240</v>
      </c>
      <c r="L478" t="str">
        <f>""</f>
        <v/>
      </c>
      <c r="M478" t="str">
        <f>""</f>
        <v/>
      </c>
      <c r="N478" t="str">
        <f>""</f>
        <v/>
      </c>
      <c r="O478" t="s">
        <v>1711</v>
      </c>
      <c r="P478" t="s">
        <v>1742</v>
      </c>
      <c r="R478" t="s">
        <v>1041</v>
      </c>
      <c r="S478" t="s">
        <v>36</v>
      </c>
      <c r="T478" t="str">
        <f>"85224"</f>
        <v>85224</v>
      </c>
      <c r="U478" t="str">
        <f>""</f>
        <v/>
      </c>
      <c r="V478" t="s">
        <v>1742</v>
      </c>
      <c r="X478" t="s">
        <v>1041</v>
      </c>
      <c r="Y478" t="s">
        <v>36</v>
      </c>
      <c r="Z478" t="str">
        <f>"85224"</f>
        <v>85224</v>
      </c>
      <c r="AA478" t="str">
        <f>""</f>
        <v/>
      </c>
      <c r="AB478" t="s">
        <v>40</v>
      </c>
    </row>
    <row r="479" spans="1:28" x14ac:dyDescent="0.25">
      <c r="A479">
        <v>4242</v>
      </c>
      <c r="B479" t="str">
        <f t="shared" si="68"/>
        <v>070280000</v>
      </c>
      <c r="C479" t="s">
        <v>1701</v>
      </c>
      <c r="D479">
        <v>5127</v>
      </c>
      <c r="E479" t="str">
        <f>"070280202"</f>
        <v>070280202</v>
      </c>
      <c r="F479" t="s">
        <v>1743</v>
      </c>
      <c r="G479" t="s">
        <v>42</v>
      </c>
      <c r="H479" t="s">
        <v>1709</v>
      </c>
      <c r="I479" t="s">
        <v>1710</v>
      </c>
      <c r="J479" t="s">
        <v>307</v>
      </c>
      <c r="K479" t="str">
        <f t="shared" si="69"/>
        <v>4808127240</v>
      </c>
      <c r="L479" t="str">
        <f>""</f>
        <v/>
      </c>
      <c r="M479" t="str">
        <f>""</f>
        <v/>
      </c>
      <c r="N479" t="str">
        <f>""</f>
        <v/>
      </c>
      <c r="O479" t="s">
        <v>1711</v>
      </c>
      <c r="P479" t="s">
        <v>1744</v>
      </c>
      <c r="R479" t="s">
        <v>1041</v>
      </c>
      <c r="S479" t="s">
        <v>36</v>
      </c>
      <c r="T479" t="str">
        <f>"85225"</f>
        <v>85225</v>
      </c>
      <c r="U479" t="str">
        <f>""</f>
        <v/>
      </c>
      <c r="V479" t="s">
        <v>1744</v>
      </c>
      <c r="X479" t="s">
        <v>1041</v>
      </c>
      <c r="Y479" t="s">
        <v>36</v>
      </c>
      <c r="Z479" t="str">
        <f>"85225"</f>
        <v>85225</v>
      </c>
      <c r="AA479" t="str">
        <f>""</f>
        <v/>
      </c>
      <c r="AB479" t="s">
        <v>40</v>
      </c>
    </row>
    <row r="480" spans="1:28" x14ac:dyDescent="0.25">
      <c r="A480">
        <v>4242</v>
      </c>
      <c r="B480" t="str">
        <f t="shared" si="68"/>
        <v>070280000</v>
      </c>
      <c r="C480" t="s">
        <v>1701</v>
      </c>
      <c r="D480">
        <v>6013</v>
      </c>
      <c r="E480" t="str">
        <f>"070280124"</f>
        <v>070280124</v>
      </c>
      <c r="F480" t="s">
        <v>1745</v>
      </c>
      <c r="G480" t="s">
        <v>42</v>
      </c>
      <c r="H480" t="s">
        <v>1709</v>
      </c>
      <c r="I480" t="s">
        <v>1710</v>
      </c>
      <c r="J480" t="s">
        <v>307</v>
      </c>
      <c r="K480" t="str">
        <f t="shared" si="69"/>
        <v>4808127240</v>
      </c>
      <c r="L480" t="str">
        <f>""</f>
        <v/>
      </c>
      <c r="M480" t="str">
        <f>""</f>
        <v/>
      </c>
      <c r="N480" t="str">
        <f>""</f>
        <v/>
      </c>
      <c r="O480" t="s">
        <v>1711</v>
      </c>
      <c r="P480" t="s">
        <v>1746</v>
      </c>
      <c r="R480" t="s">
        <v>1041</v>
      </c>
      <c r="S480" t="s">
        <v>36</v>
      </c>
      <c r="T480" t="str">
        <f>"85225"</f>
        <v>85225</v>
      </c>
      <c r="U480" t="str">
        <f>""</f>
        <v/>
      </c>
      <c r="V480" t="s">
        <v>1746</v>
      </c>
      <c r="X480" t="s">
        <v>1041</v>
      </c>
      <c r="Y480" t="s">
        <v>36</v>
      </c>
      <c r="Z480" t="str">
        <f>"85225"</f>
        <v>85225</v>
      </c>
      <c r="AA480" t="str">
        <f>""</f>
        <v/>
      </c>
      <c r="AB480" t="s">
        <v>40</v>
      </c>
    </row>
    <row r="481" spans="1:28" x14ac:dyDescent="0.25">
      <c r="A481">
        <v>4242</v>
      </c>
      <c r="B481" t="str">
        <f t="shared" si="68"/>
        <v>070280000</v>
      </c>
      <c r="C481" t="s">
        <v>1701</v>
      </c>
      <c r="D481">
        <v>6014</v>
      </c>
      <c r="E481" t="str">
        <f>"070280127"</f>
        <v>070280127</v>
      </c>
      <c r="F481" t="s">
        <v>1747</v>
      </c>
      <c r="G481" t="s">
        <v>42</v>
      </c>
      <c r="H481" t="s">
        <v>1709</v>
      </c>
      <c r="I481" t="s">
        <v>1710</v>
      </c>
      <c r="J481" t="s">
        <v>1748</v>
      </c>
      <c r="K481" t="str">
        <f t="shared" si="69"/>
        <v>4808127240</v>
      </c>
      <c r="L481" t="str">
        <f>""</f>
        <v/>
      </c>
      <c r="M481" t="str">
        <f>""</f>
        <v/>
      </c>
      <c r="N481" t="str">
        <f>""</f>
        <v/>
      </c>
      <c r="O481" t="s">
        <v>1711</v>
      </c>
      <c r="P481" t="s">
        <v>1749</v>
      </c>
      <c r="R481" t="s">
        <v>1041</v>
      </c>
      <c r="S481" t="s">
        <v>36</v>
      </c>
      <c r="T481" t="str">
        <f>"85286"</f>
        <v>85286</v>
      </c>
      <c r="U481" t="str">
        <f>""</f>
        <v/>
      </c>
      <c r="V481" t="s">
        <v>1749</v>
      </c>
      <c r="X481" t="s">
        <v>1041</v>
      </c>
      <c r="Y481" t="s">
        <v>36</v>
      </c>
      <c r="Z481" t="str">
        <f>"85286"</f>
        <v>85286</v>
      </c>
      <c r="AA481" t="str">
        <f>""</f>
        <v/>
      </c>
      <c r="AB481" t="s">
        <v>40</v>
      </c>
    </row>
    <row r="482" spans="1:28" x14ac:dyDescent="0.25">
      <c r="A482">
        <v>4242</v>
      </c>
      <c r="B482" t="str">
        <f t="shared" si="68"/>
        <v>070280000</v>
      </c>
      <c r="C482" t="s">
        <v>1701</v>
      </c>
      <c r="D482">
        <v>6015</v>
      </c>
      <c r="E482" t="str">
        <f>"070280223"</f>
        <v>070280223</v>
      </c>
      <c r="F482" t="s">
        <v>1750</v>
      </c>
      <c r="G482" t="s">
        <v>42</v>
      </c>
      <c r="H482" t="s">
        <v>1709</v>
      </c>
      <c r="I482" t="s">
        <v>1710</v>
      </c>
      <c r="J482" t="s">
        <v>307</v>
      </c>
      <c r="K482" t="str">
        <f t="shared" si="69"/>
        <v>4808127240</v>
      </c>
      <c r="L482" t="str">
        <f>""</f>
        <v/>
      </c>
      <c r="M482" t="str">
        <f>""</f>
        <v/>
      </c>
      <c r="N482" t="str">
        <f>""</f>
        <v/>
      </c>
      <c r="O482" t="s">
        <v>1711</v>
      </c>
      <c r="P482" t="s">
        <v>1751</v>
      </c>
      <c r="R482" t="s">
        <v>1041</v>
      </c>
      <c r="S482" t="s">
        <v>36</v>
      </c>
      <c r="T482" t="str">
        <f>"85248"</f>
        <v>85248</v>
      </c>
      <c r="U482" t="str">
        <f>""</f>
        <v/>
      </c>
      <c r="V482" t="s">
        <v>1751</v>
      </c>
      <c r="X482" t="s">
        <v>1041</v>
      </c>
      <c r="Y482" t="s">
        <v>36</v>
      </c>
      <c r="Z482" t="str">
        <f>"85248"</f>
        <v>85248</v>
      </c>
      <c r="AA482" t="str">
        <f>""</f>
        <v/>
      </c>
      <c r="AB482" t="s">
        <v>40</v>
      </c>
    </row>
    <row r="483" spans="1:28" x14ac:dyDescent="0.25">
      <c r="A483">
        <v>4242</v>
      </c>
      <c r="B483" t="str">
        <f t="shared" si="68"/>
        <v>070280000</v>
      </c>
      <c r="C483" t="s">
        <v>1701</v>
      </c>
      <c r="D483">
        <v>79247</v>
      </c>
      <c r="E483" t="str">
        <f>"070280129"</f>
        <v>070280129</v>
      </c>
      <c r="F483" t="s">
        <v>1752</v>
      </c>
      <c r="G483" t="s">
        <v>42</v>
      </c>
      <c r="H483" t="s">
        <v>1709</v>
      </c>
      <c r="I483" t="s">
        <v>1710</v>
      </c>
      <c r="J483" t="s">
        <v>307</v>
      </c>
      <c r="K483" t="str">
        <f t="shared" si="69"/>
        <v>4808127240</v>
      </c>
      <c r="L483" t="str">
        <f>""</f>
        <v/>
      </c>
      <c r="M483" t="str">
        <f>""</f>
        <v/>
      </c>
      <c r="N483" t="str">
        <f>""</f>
        <v/>
      </c>
      <c r="O483" t="s">
        <v>1711</v>
      </c>
      <c r="P483" t="s">
        <v>1753</v>
      </c>
      <c r="R483" t="s">
        <v>1041</v>
      </c>
      <c r="S483" t="s">
        <v>36</v>
      </c>
      <c r="T483" t="str">
        <f>"85248"</f>
        <v>85248</v>
      </c>
      <c r="U483" t="str">
        <f>""</f>
        <v/>
      </c>
      <c r="V483" t="s">
        <v>1753</v>
      </c>
      <c r="X483" t="s">
        <v>1041</v>
      </c>
      <c r="Y483" t="s">
        <v>36</v>
      </c>
      <c r="Z483" t="str">
        <f>"85248"</f>
        <v>85248</v>
      </c>
      <c r="AA483" t="str">
        <f>""</f>
        <v/>
      </c>
      <c r="AB483" t="s">
        <v>40</v>
      </c>
    </row>
    <row r="484" spans="1:28" x14ac:dyDescent="0.25">
      <c r="A484">
        <v>4242</v>
      </c>
      <c r="B484" t="str">
        <f t="shared" si="68"/>
        <v>070280000</v>
      </c>
      <c r="C484" t="s">
        <v>1701</v>
      </c>
      <c r="D484">
        <v>79633</v>
      </c>
      <c r="E484" t="str">
        <f>"070280203"</f>
        <v>070280203</v>
      </c>
      <c r="F484" t="s">
        <v>1754</v>
      </c>
      <c r="G484" t="s">
        <v>42</v>
      </c>
      <c r="H484" t="s">
        <v>1709</v>
      </c>
      <c r="I484" t="s">
        <v>1710</v>
      </c>
      <c r="J484" t="s">
        <v>307</v>
      </c>
      <c r="K484" t="str">
        <f t="shared" si="69"/>
        <v>4808127240</v>
      </c>
      <c r="L484" t="str">
        <f>""</f>
        <v/>
      </c>
      <c r="M484" t="str">
        <f>""</f>
        <v/>
      </c>
      <c r="N484" t="str">
        <f>""</f>
        <v/>
      </c>
      <c r="O484" t="s">
        <v>1711</v>
      </c>
      <c r="P484" t="s">
        <v>1755</v>
      </c>
      <c r="R484" t="s">
        <v>1041</v>
      </c>
      <c r="S484" t="s">
        <v>36</v>
      </c>
      <c r="T484" t="str">
        <f>"85249"</f>
        <v>85249</v>
      </c>
      <c r="U484" t="str">
        <f>""</f>
        <v/>
      </c>
      <c r="V484" t="s">
        <v>1755</v>
      </c>
      <c r="X484" t="s">
        <v>1041</v>
      </c>
      <c r="Y484" t="s">
        <v>36</v>
      </c>
      <c r="Z484" t="str">
        <f>"85249"</f>
        <v>85249</v>
      </c>
      <c r="AA484" t="str">
        <f>""</f>
        <v/>
      </c>
      <c r="AB484" t="s">
        <v>40</v>
      </c>
    </row>
    <row r="485" spans="1:28" x14ac:dyDescent="0.25">
      <c r="A485">
        <v>4242</v>
      </c>
      <c r="B485" t="str">
        <f t="shared" si="68"/>
        <v>070280000</v>
      </c>
      <c r="C485" t="s">
        <v>1701</v>
      </c>
      <c r="D485">
        <v>79634</v>
      </c>
      <c r="E485" t="str">
        <f>"070280121"</f>
        <v>070280121</v>
      </c>
      <c r="F485" t="s">
        <v>1756</v>
      </c>
      <c r="G485" t="s">
        <v>42</v>
      </c>
      <c r="H485" t="s">
        <v>1709</v>
      </c>
      <c r="I485" t="s">
        <v>1710</v>
      </c>
      <c r="J485" t="s">
        <v>307</v>
      </c>
      <c r="K485" t="str">
        <f t="shared" si="69"/>
        <v>4808127240</v>
      </c>
      <c r="L485" t="str">
        <f>""</f>
        <v/>
      </c>
      <c r="M485" t="str">
        <f>""</f>
        <v/>
      </c>
      <c r="N485" t="str">
        <f>""</f>
        <v/>
      </c>
      <c r="O485" t="s">
        <v>1711</v>
      </c>
      <c r="P485" t="s">
        <v>1757</v>
      </c>
      <c r="R485" t="s">
        <v>1041</v>
      </c>
      <c r="S485" t="s">
        <v>36</v>
      </c>
      <c r="T485" t="str">
        <f>"85249"</f>
        <v>85249</v>
      </c>
      <c r="U485" t="str">
        <f>""</f>
        <v/>
      </c>
      <c r="V485" t="s">
        <v>1757</v>
      </c>
      <c r="X485" t="s">
        <v>1041</v>
      </c>
      <c r="Y485" t="s">
        <v>36</v>
      </c>
      <c r="Z485" t="str">
        <f>"85249"</f>
        <v>85249</v>
      </c>
      <c r="AA485" t="str">
        <f>""</f>
        <v/>
      </c>
      <c r="AB485" t="s">
        <v>40</v>
      </c>
    </row>
    <row r="486" spans="1:28" x14ac:dyDescent="0.25">
      <c r="A486">
        <v>4242</v>
      </c>
      <c r="B486" t="str">
        <f t="shared" si="68"/>
        <v>070280000</v>
      </c>
      <c r="C486" t="s">
        <v>1701</v>
      </c>
      <c r="D486">
        <v>79635</v>
      </c>
      <c r="E486" t="str">
        <f>"070280131"</f>
        <v>070280131</v>
      </c>
      <c r="F486" t="s">
        <v>1758</v>
      </c>
      <c r="G486" t="s">
        <v>42</v>
      </c>
      <c r="H486" t="s">
        <v>1709</v>
      </c>
      <c r="I486" t="s">
        <v>1710</v>
      </c>
      <c r="J486" t="s">
        <v>307</v>
      </c>
      <c r="K486" t="str">
        <f t="shared" si="69"/>
        <v>4808127240</v>
      </c>
      <c r="L486" t="str">
        <f>""</f>
        <v/>
      </c>
      <c r="M486" t="str">
        <f>""</f>
        <v/>
      </c>
      <c r="N486" t="str">
        <f>""</f>
        <v/>
      </c>
      <c r="O486" t="s">
        <v>1711</v>
      </c>
      <c r="P486" t="s">
        <v>1759</v>
      </c>
      <c r="R486" t="s">
        <v>1041</v>
      </c>
      <c r="S486" t="s">
        <v>36</v>
      </c>
      <c r="T486" t="str">
        <f>"85286"</f>
        <v>85286</v>
      </c>
      <c r="U486" t="str">
        <f>""</f>
        <v/>
      </c>
      <c r="V486" t="s">
        <v>1759</v>
      </c>
      <c r="X486" t="s">
        <v>1041</v>
      </c>
      <c r="Y486" t="s">
        <v>36</v>
      </c>
      <c r="Z486" t="str">
        <f>"85286"</f>
        <v>85286</v>
      </c>
      <c r="AA486" t="str">
        <f>""</f>
        <v/>
      </c>
      <c r="AB486" t="s">
        <v>40</v>
      </c>
    </row>
    <row r="487" spans="1:28" x14ac:dyDescent="0.25">
      <c r="A487">
        <v>4242</v>
      </c>
      <c r="B487" t="str">
        <f t="shared" si="68"/>
        <v>070280000</v>
      </c>
      <c r="C487" t="s">
        <v>1701</v>
      </c>
      <c r="D487">
        <v>79636</v>
      </c>
      <c r="E487" t="str">
        <f>"070280132"</f>
        <v>070280132</v>
      </c>
      <c r="F487" t="s">
        <v>1760</v>
      </c>
      <c r="G487" t="s">
        <v>42</v>
      </c>
      <c r="H487" t="s">
        <v>1709</v>
      </c>
      <c r="I487" t="s">
        <v>1710</v>
      </c>
      <c r="J487" t="s">
        <v>307</v>
      </c>
      <c r="K487" t="str">
        <f t="shared" si="69"/>
        <v>4808127240</v>
      </c>
      <c r="L487" t="str">
        <f>""</f>
        <v/>
      </c>
      <c r="M487" t="str">
        <f>""</f>
        <v/>
      </c>
      <c r="N487" t="str">
        <f>""</f>
        <v/>
      </c>
      <c r="O487" t="s">
        <v>1711</v>
      </c>
      <c r="P487" t="s">
        <v>1761</v>
      </c>
      <c r="R487" t="s">
        <v>1041</v>
      </c>
      <c r="S487" t="s">
        <v>36</v>
      </c>
      <c r="T487" t="str">
        <f>"85249"</f>
        <v>85249</v>
      </c>
      <c r="U487" t="str">
        <f>""</f>
        <v/>
      </c>
      <c r="V487" t="s">
        <v>1761</v>
      </c>
      <c r="X487" t="s">
        <v>1041</v>
      </c>
      <c r="Y487" t="s">
        <v>36</v>
      </c>
      <c r="Z487" t="str">
        <f>"85249"</f>
        <v>85249</v>
      </c>
      <c r="AA487" t="str">
        <f>""</f>
        <v/>
      </c>
      <c r="AB487" t="s">
        <v>40</v>
      </c>
    </row>
    <row r="488" spans="1:28" x14ac:dyDescent="0.25">
      <c r="A488">
        <v>4242</v>
      </c>
      <c r="B488" t="str">
        <f t="shared" si="68"/>
        <v>070280000</v>
      </c>
      <c r="C488" t="s">
        <v>1701</v>
      </c>
      <c r="D488">
        <v>79653</v>
      </c>
      <c r="E488" t="str">
        <f>"070280130"</f>
        <v>070280130</v>
      </c>
      <c r="F488" t="s">
        <v>1762</v>
      </c>
      <c r="G488" t="s">
        <v>42</v>
      </c>
      <c r="H488" t="s">
        <v>1709</v>
      </c>
      <c r="I488" t="s">
        <v>1710</v>
      </c>
      <c r="J488" t="s">
        <v>307</v>
      </c>
      <c r="K488" t="str">
        <f t="shared" si="69"/>
        <v>4808127240</v>
      </c>
      <c r="L488" t="str">
        <f>""</f>
        <v/>
      </c>
      <c r="M488" t="str">
        <f>""</f>
        <v/>
      </c>
      <c r="N488" t="str">
        <f>""</f>
        <v/>
      </c>
      <c r="O488" t="s">
        <v>1711</v>
      </c>
      <c r="P488" t="s">
        <v>1763</v>
      </c>
      <c r="R488" t="s">
        <v>1041</v>
      </c>
      <c r="S488" t="s">
        <v>36</v>
      </c>
      <c r="T488" t="str">
        <f>"85249"</f>
        <v>85249</v>
      </c>
      <c r="U488" t="str">
        <f>""</f>
        <v/>
      </c>
      <c r="V488" t="s">
        <v>1763</v>
      </c>
      <c r="X488" t="s">
        <v>1041</v>
      </c>
      <c r="Y488" t="s">
        <v>36</v>
      </c>
      <c r="Z488" t="str">
        <f>"85249"</f>
        <v>85249</v>
      </c>
      <c r="AA488" t="str">
        <f>""</f>
        <v/>
      </c>
      <c r="AB488" t="s">
        <v>40</v>
      </c>
    </row>
    <row r="489" spans="1:28" x14ac:dyDescent="0.25">
      <c r="A489">
        <v>4242</v>
      </c>
      <c r="B489" t="str">
        <f t="shared" si="68"/>
        <v>070280000</v>
      </c>
      <c r="C489" t="s">
        <v>1701</v>
      </c>
      <c r="D489">
        <v>80102</v>
      </c>
      <c r="E489" t="str">
        <f>"070280133"</f>
        <v>070280133</v>
      </c>
      <c r="F489" t="s">
        <v>1764</v>
      </c>
      <c r="G489" t="s">
        <v>42</v>
      </c>
      <c r="H489" t="s">
        <v>1709</v>
      </c>
      <c r="I489" t="s">
        <v>1710</v>
      </c>
      <c r="J489" t="s">
        <v>307</v>
      </c>
      <c r="K489" t="str">
        <f t="shared" si="69"/>
        <v>4808127240</v>
      </c>
      <c r="L489" t="str">
        <f>""</f>
        <v/>
      </c>
      <c r="M489" t="str">
        <f>""</f>
        <v/>
      </c>
      <c r="N489" t="str">
        <f>""</f>
        <v/>
      </c>
      <c r="O489" t="s">
        <v>1711</v>
      </c>
      <c r="P489" t="s">
        <v>1765</v>
      </c>
      <c r="R489" t="s">
        <v>1041</v>
      </c>
      <c r="S489" t="s">
        <v>36</v>
      </c>
      <c r="T489" t="str">
        <f>"85225"</f>
        <v>85225</v>
      </c>
      <c r="U489" t="str">
        <f>""</f>
        <v/>
      </c>
      <c r="V489" t="s">
        <v>1765</v>
      </c>
      <c r="X489" t="s">
        <v>1041</v>
      </c>
      <c r="Y489" t="s">
        <v>36</v>
      </c>
      <c r="Z489" t="str">
        <f>"85225"</f>
        <v>85225</v>
      </c>
      <c r="AA489" t="str">
        <f>""</f>
        <v/>
      </c>
      <c r="AB489" t="s">
        <v>40</v>
      </c>
    </row>
    <row r="490" spans="1:28" x14ac:dyDescent="0.25">
      <c r="A490">
        <v>4242</v>
      </c>
      <c r="B490" t="str">
        <f t="shared" si="68"/>
        <v>070280000</v>
      </c>
      <c r="C490" t="s">
        <v>1701</v>
      </c>
      <c r="D490">
        <v>85837</v>
      </c>
      <c r="E490" t="str">
        <f>"070280134"</f>
        <v>070280134</v>
      </c>
      <c r="F490" t="s">
        <v>1766</v>
      </c>
      <c r="G490" t="s">
        <v>42</v>
      </c>
      <c r="H490" t="s">
        <v>1709</v>
      </c>
      <c r="I490" t="s">
        <v>1710</v>
      </c>
      <c r="J490" t="s">
        <v>307</v>
      </c>
      <c r="K490" t="str">
        <f t="shared" si="69"/>
        <v>4808127240</v>
      </c>
      <c r="L490" t="str">
        <f>""</f>
        <v/>
      </c>
      <c r="M490" t="str">
        <f>""</f>
        <v/>
      </c>
      <c r="N490" t="str">
        <f>""</f>
        <v/>
      </c>
      <c r="O490" t="s">
        <v>1711</v>
      </c>
      <c r="P490" t="s">
        <v>1767</v>
      </c>
      <c r="R490" t="s">
        <v>1275</v>
      </c>
      <c r="S490" t="s">
        <v>36</v>
      </c>
      <c r="T490" t="str">
        <f>"85298"</f>
        <v>85298</v>
      </c>
      <c r="U490" t="str">
        <f>""</f>
        <v/>
      </c>
      <c r="V490" t="s">
        <v>1767</v>
      </c>
      <c r="X490" t="s">
        <v>1275</v>
      </c>
      <c r="Y490" t="s">
        <v>36</v>
      </c>
      <c r="Z490" t="str">
        <f>"85298"</f>
        <v>85298</v>
      </c>
      <c r="AA490" t="str">
        <f>""</f>
        <v/>
      </c>
      <c r="AB490" t="s">
        <v>40</v>
      </c>
    </row>
    <row r="491" spans="1:28" x14ac:dyDescent="0.25">
      <c r="A491">
        <v>4242</v>
      </c>
      <c r="B491" t="str">
        <f t="shared" si="68"/>
        <v>070280000</v>
      </c>
      <c r="C491" t="s">
        <v>1701</v>
      </c>
      <c r="D491">
        <v>85838</v>
      </c>
      <c r="E491" t="str">
        <f>"070280135"</f>
        <v>070280135</v>
      </c>
      <c r="F491" t="s">
        <v>1768</v>
      </c>
      <c r="G491" t="s">
        <v>42</v>
      </c>
      <c r="H491" t="s">
        <v>1709</v>
      </c>
      <c r="I491" t="s">
        <v>1710</v>
      </c>
      <c r="J491" t="s">
        <v>307</v>
      </c>
      <c r="K491" t="str">
        <f t="shared" si="69"/>
        <v>4808127240</v>
      </c>
      <c r="L491" t="str">
        <f>""</f>
        <v/>
      </c>
      <c r="M491" t="str">
        <f>""</f>
        <v/>
      </c>
      <c r="N491" t="str">
        <f>""</f>
        <v/>
      </c>
      <c r="O491" t="s">
        <v>1711</v>
      </c>
      <c r="P491" t="s">
        <v>1769</v>
      </c>
      <c r="R491" t="s">
        <v>1041</v>
      </c>
      <c r="S491" t="s">
        <v>36</v>
      </c>
      <c r="T491" t="str">
        <f>"85249"</f>
        <v>85249</v>
      </c>
      <c r="U491" t="str">
        <f>""</f>
        <v/>
      </c>
      <c r="V491" t="s">
        <v>1769</v>
      </c>
      <c r="X491" t="s">
        <v>1041</v>
      </c>
      <c r="Y491" t="s">
        <v>36</v>
      </c>
      <c r="Z491" t="str">
        <f>"85249"</f>
        <v>85249</v>
      </c>
      <c r="AA491" t="str">
        <f>""</f>
        <v/>
      </c>
      <c r="AB491" t="s">
        <v>40</v>
      </c>
    </row>
    <row r="492" spans="1:28" x14ac:dyDescent="0.25">
      <c r="A492">
        <v>4242</v>
      </c>
      <c r="B492" t="str">
        <f t="shared" si="68"/>
        <v>070280000</v>
      </c>
      <c r="C492" t="s">
        <v>1701</v>
      </c>
      <c r="D492">
        <v>87519</v>
      </c>
      <c r="E492" t="str">
        <f>"070280110"</f>
        <v>070280110</v>
      </c>
      <c r="F492" t="s">
        <v>1770</v>
      </c>
      <c r="G492" t="s">
        <v>42</v>
      </c>
      <c r="H492" t="s">
        <v>1709</v>
      </c>
      <c r="I492" t="s">
        <v>1710</v>
      </c>
      <c r="J492" t="s">
        <v>307</v>
      </c>
      <c r="K492" t="str">
        <f t="shared" si="69"/>
        <v>4808127240</v>
      </c>
      <c r="L492" t="str">
        <f>""</f>
        <v/>
      </c>
      <c r="M492" t="str">
        <f>""</f>
        <v/>
      </c>
      <c r="N492" t="str">
        <f>""</f>
        <v/>
      </c>
      <c r="O492" t="s">
        <v>1711</v>
      </c>
      <c r="P492" t="s">
        <v>1771</v>
      </c>
      <c r="R492" t="s">
        <v>1772</v>
      </c>
      <c r="S492" t="s">
        <v>36</v>
      </c>
      <c r="T492" t="str">
        <f>"85142"</f>
        <v>85142</v>
      </c>
      <c r="U492" t="str">
        <f>""</f>
        <v/>
      </c>
      <c r="V492" t="s">
        <v>1771</v>
      </c>
      <c r="X492" t="s">
        <v>1772</v>
      </c>
      <c r="Y492" t="s">
        <v>36</v>
      </c>
      <c r="Z492" t="str">
        <f>"85142"</f>
        <v>85142</v>
      </c>
      <c r="AA492" t="str">
        <f>""</f>
        <v/>
      </c>
      <c r="AB492" t="s">
        <v>40</v>
      </c>
    </row>
    <row r="493" spans="1:28" x14ac:dyDescent="0.25">
      <c r="A493">
        <v>4242</v>
      </c>
      <c r="B493" t="str">
        <f t="shared" si="68"/>
        <v>070280000</v>
      </c>
      <c r="C493" t="s">
        <v>1701</v>
      </c>
      <c r="D493">
        <v>87679</v>
      </c>
      <c r="E493" t="str">
        <f>"070280137"</f>
        <v>070280137</v>
      </c>
      <c r="F493" t="s">
        <v>1773</v>
      </c>
      <c r="G493" t="s">
        <v>42</v>
      </c>
      <c r="H493" t="s">
        <v>1709</v>
      </c>
      <c r="I493" t="s">
        <v>1710</v>
      </c>
      <c r="J493" t="s">
        <v>307</v>
      </c>
      <c r="K493" t="str">
        <f t="shared" si="69"/>
        <v>4808127240</v>
      </c>
      <c r="L493" t="str">
        <f>""</f>
        <v/>
      </c>
      <c r="M493" t="str">
        <f>""</f>
        <v/>
      </c>
      <c r="N493" t="str">
        <f>""</f>
        <v/>
      </c>
      <c r="O493" t="s">
        <v>1711</v>
      </c>
      <c r="P493" t="s">
        <v>1774</v>
      </c>
      <c r="R493" t="s">
        <v>1041</v>
      </c>
      <c r="S493" t="s">
        <v>36</v>
      </c>
      <c r="T493" t="str">
        <f>"85249"</f>
        <v>85249</v>
      </c>
      <c r="U493" t="str">
        <f>""</f>
        <v/>
      </c>
      <c r="V493" t="s">
        <v>1774</v>
      </c>
      <c r="X493" t="s">
        <v>1041</v>
      </c>
      <c r="Y493" t="s">
        <v>36</v>
      </c>
      <c r="Z493" t="str">
        <f>"85249"</f>
        <v>85249</v>
      </c>
      <c r="AA493" t="str">
        <f>""</f>
        <v/>
      </c>
      <c r="AB493" t="s">
        <v>40</v>
      </c>
    </row>
    <row r="494" spans="1:28" x14ac:dyDescent="0.25">
      <c r="A494">
        <v>4242</v>
      </c>
      <c r="B494" t="str">
        <f t="shared" si="68"/>
        <v>070280000</v>
      </c>
      <c r="C494" t="s">
        <v>1701</v>
      </c>
      <c r="D494">
        <v>88404</v>
      </c>
      <c r="E494" t="str">
        <f>"070280136"</f>
        <v>070280136</v>
      </c>
      <c r="F494" t="s">
        <v>1775</v>
      </c>
      <c r="G494" t="s">
        <v>42</v>
      </c>
      <c r="H494" t="s">
        <v>1709</v>
      </c>
      <c r="I494" t="s">
        <v>1710</v>
      </c>
      <c r="J494" t="s">
        <v>307</v>
      </c>
      <c r="K494" t="str">
        <f t="shared" si="69"/>
        <v>4808127240</v>
      </c>
      <c r="L494" t="str">
        <f>""</f>
        <v/>
      </c>
      <c r="M494" t="str">
        <f>""</f>
        <v/>
      </c>
      <c r="N494" t="str">
        <f>""</f>
        <v/>
      </c>
      <c r="O494" t="s">
        <v>1711</v>
      </c>
      <c r="P494" t="s">
        <v>1776</v>
      </c>
      <c r="R494" t="s">
        <v>1041</v>
      </c>
      <c r="S494" t="s">
        <v>36</v>
      </c>
      <c r="T494" t="str">
        <f>"85248"</f>
        <v>85248</v>
      </c>
      <c r="U494" t="str">
        <f>""</f>
        <v/>
      </c>
      <c r="V494" t="s">
        <v>1776</v>
      </c>
      <c r="X494" t="s">
        <v>1041</v>
      </c>
      <c r="Y494" t="s">
        <v>36</v>
      </c>
      <c r="Z494" t="str">
        <f>"85248"</f>
        <v>85248</v>
      </c>
      <c r="AA494" t="str">
        <f>""</f>
        <v/>
      </c>
      <c r="AB494" t="s">
        <v>40</v>
      </c>
    </row>
    <row r="495" spans="1:28" x14ac:dyDescent="0.25">
      <c r="A495">
        <v>4242</v>
      </c>
      <c r="B495" t="str">
        <f t="shared" si="68"/>
        <v>070280000</v>
      </c>
      <c r="C495" t="s">
        <v>1701</v>
      </c>
      <c r="D495">
        <v>89589</v>
      </c>
      <c r="E495" t="str">
        <f>"070280139"</f>
        <v>070280139</v>
      </c>
      <c r="F495" t="s">
        <v>1777</v>
      </c>
      <c r="G495" t="s">
        <v>42</v>
      </c>
      <c r="H495" t="s">
        <v>1709</v>
      </c>
      <c r="I495" t="s">
        <v>1710</v>
      </c>
      <c r="J495" t="s">
        <v>307</v>
      </c>
      <c r="K495" t="str">
        <f t="shared" si="69"/>
        <v>4808127240</v>
      </c>
      <c r="L495" t="str">
        <f>""</f>
        <v/>
      </c>
      <c r="M495" t="str">
        <f>""</f>
        <v/>
      </c>
      <c r="N495" t="str">
        <f>""</f>
        <v/>
      </c>
      <c r="O495" t="s">
        <v>1711</v>
      </c>
      <c r="P495" t="s">
        <v>1778</v>
      </c>
      <c r="R495" t="s">
        <v>1275</v>
      </c>
      <c r="S495" t="s">
        <v>36</v>
      </c>
      <c r="T495" t="str">
        <f>"85298"</f>
        <v>85298</v>
      </c>
      <c r="U495" t="str">
        <f>""</f>
        <v/>
      </c>
      <c r="V495" t="s">
        <v>1778</v>
      </c>
      <c r="X495" t="s">
        <v>1275</v>
      </c>
      <c r="Y495" t="s">
        <v>36</v>
      </c>
      <c r="Z495" t="str">
        <f>"85298"</f>
        <v>85298</v>
      </c>
      <c r="AA495" t="str">
        <f>""</f>
        <v/>
      </c>
      <c r="AB495" t="s">
        <v>40</v>
      </c>
    </row>
    <row r="496" spans="1:28" x14ac:dyDescent="0.25">
      <c r="A496">
        <v>4242</v>
      </c>
      <c r="B496" t="str">
        <f t="shared" si="68"/>
        <v>070280000</v>
      </c>
      <c r="C496" t="s">
        <v>1701</v>
      </c>
      <c r="D496">
        <v>89590</v>
      </c>
      <c r="E496" t="str">
        <f>"070280138"</f>
        <v>070280138</v>
      </c>
      <c r="F496" t="s">
        <v>1779</v>
      </c>
      <c r="G496" t="s">
        <v>42</v>
      </c>
      <c r="H496" t="s">
        <v>1709</v>
      </c>
      <c r="I496" t="s">
        <v>1710</v>
      </c>
      <c r="J496" t="s">
        <v>307</v>
      </c>
      <c r="K496" t="str">
        <f t="shared" si="69"/>
        <v>4808127240</v>
      </c>
      <c r="L496" t="str">
        <f>""</f>
        <v/>
      </c>
      <c r="M496" t="str">
        <f>""</f>
        <v/>
      </c>
      <c r="N496" t="str">
        <f>""</f>
        <v/>
      </c>
      <c r="O496" t="s">
        <v>1711</v>
      </c>
      <c r="P496" t="s">
        <v>1780</v>
      </c>
      <c r="R496" t="s">
        <v>1041</v>
      </c>
      <c r="S496" t="s">
        <v>36</v>
      </c>
      <c r="T496" t="str">
        <f>"85248"</f>
        <v>85248</v>
      </c>
      <c r="U496" t="str">
        <f>""</f>
        <v/>
      </c>
      <c r="V496" t="s">
        <v>1780</v>
      </c>
      <c r="X496" t="s">
        <v>1041</v>
      </c>
      <c r="Y496" t="s">
        <v>36</v>
      </c>
      <c r="Z496" t="str">
        <f>"85248"</f>
        <v>85248</v>
      </c>
      <c r="AA496" t="str">
        <f>""</f>
        <v/>
      </c>
      <c r="AB496" t="s">
        <v>40</v>
      </c>
    </row>
    <row r="497" spans="1:28" x14ac:dyDescent="0.25">
      <c r="A497">
        <v>4242</v>
      </c>
      <c r="B497" t="str">
        <f t="shared" si="68"/>
        <v>070280000</v>
      </c>
      <c r="C497" t="s">
        <v>1701</v>
      </c>
      <c r="D497">
        <v>89591</v>
      </c>
      <c r="E497" t="str">
        <f>"070280243"</f>
        <v>070280243</v>
      </c>
      <c r="F497" t="s">
        <v>1781</v>
      </c>
      <c r="G497" t="s">
        <v>42</v>
      </c>
      <c r="H497" t="s">
        <v>1709</v>
      </c>
      <c r="I497" t="s">
        <v>1710</v>
      </c>
      <c r="J497" t="s">
        <v>307</v>
      </c>
      <c r="K497" t="str">
        <f t="shared" si="69"/>
        <v>4808127240</v>
      </c>
      <c r="L497" t="str">
        <f>""</f>
        <v/>
      </c>
      <c r="M497" t="str">
        <f>""</f>
        <v/>
      </c>
      <c r="N497" t="str">
        <f>""</f>
        <v/>
      </c>
      <c r="O497" t="s">
        <v>1711</v>
      </c>
      <c r="P497" t="s">
        <v>1782</v>
      </c>
      <c r="R497" t="s">
        <v>1041</v>
      </c>
      <c r="S497" t="s">
        <v>36</v>
      </c>
      <c r="T497" t="str">
        <f>"85224"</f>
        <v>85224</v>
      </c>
      <c r="U497" t="str">
        <f>""</f>
        <v/>
      </c>
      <c r="V497" t="s">
        <v>1782</v>
      </c>
      <c r="X497" t="s">
        <v>1041</v>
      </c>
      <c r="Y497" t="s">
        <v>36</v>
      </c>
      <c r="Z497" t="str">
        <f>"85224"</f>
        <v>85224</v>
      </c>
      <c r="AA497" t="str">
        <f>""</f>
        <v/>
      </c>
      <c r="AB497" t="s">
        <v>40</v>
      </c>
    </row>
    <row r="498" spans="1:28" x14ac:dyDescent="0.25">
      <c r="A498">
        <v>4242</v>
      </c>
      <c r="B498" t="str">
        <f t="shared" si="68"/>
        <v>070280000</v>
      </c>
      <c r="C498" t="s">
        <v>1701</v>
      </c>
      <c r="D498">
        <v>89613</v>
      </c>
      <c r="E498" t="str">
        <f>"070280228"</f>
        <v>070280228</v>
      </c>
      <c r="F498" t="s">
        <v>1783</v>
      </c>
      <c r="G498" t="s">
        <v>42</v>
      </c>
      <c r="H498" t="s">
        <v>1710</v>
      </c>
      <c r="I498" t="s">
        <v>1709</v>
      </c>
      <c r="J498" t="s">
        <v>307</v>
      </c>
      <c r="K498" t="str">
        <f t="shared" si="69"/>
        <v>4808127240</v>
      </c>
      <c r="L498" t="str">
        <f>""</f>
        <v/>
      </c>
      <c r="M498" t="str">
        <f>""</f>
        <v/>
      </c>
      <c r="N498" t="str">
        <f>""</f>
        <v/>
      </c>
      <c r="O498" t="s">
        <v>1711</v>
      </c>
      <c r="P498" t="s">
        <v>1784</v>
      </c>
      <c r="R498" t="s">
        <v>1275</v>
      </c>
      <c r="S498" t="s">
        <v>36</v>
      </c>
      <c r="T498" t="str">
        <f>"85297"</f>
        <v>85297</v>
      </c>
      <c r="U498" t="str">
        <f>""</f>
        <v/>
      </c>
      <c r="V498" t="s">
        <v>1784</v>
      </c>
      <c r="X498" t="s">
        <v>1275</v>
      </c>
      <c r="Y498" t="s">
        <v>36</v>
      </c>
      <c r="Z498" t="str">
        <f>"85297"</f>
        <v>85297</v>
      </c>
      <c r="AA498" t="str">
        <f>""</f>
        <v/>
      </c>
      <c r="AB498" t="s">
        <v>40</v>
      </c>
    </row>
    <row r="499" spans="1:28" x14ac:dyDescent="0.25">
      <c r="A499">
        <v>4242</v>
      </c>
      <c r="B499" t="str">
        <f t="shared" si="68"/>
        <v>070280000</v>
      </c>
      <c r="C499" t="s">
        <v>1701</v>
      </c>
      <c r="D499">
        <v>89925</v>
      </c>
      <c r="E499" t="str">
        <f>"070280141"</f>
        <v>070280141</v>
      </c>
      <c r="F499" t="s">
        <v>1785</v>
      </c>
      <c r="G499" t="s">
        <v>42</v>
      </c>
      <c r="H499" t="s">
        <v>1709</v>
      </c>
      <c r="I499" t="s">
        <v>1710</v>
      </c>
      <c r="J499" t="s">
        <v>307</v>
      </c>
      <c r="K499" t="str">
        <f t="shared" si="69"/>
        <v>4808127240</v>
      </c>
      <c r="L499" t="str">
        <f>""</f>
        <v/>
      </c>
      <c r="M499" t="str">
        <f>""</f>
        <v/>
      </c>
      <c r="N499" t="str">
        <f>""</f>
        <v/>
      </c>
      <c r="O499" t="s">
        <v>1711</v>
      </c>
      <c r="P499" t="s">
        <v>1786</v>
      </c>
      <c r="R499" t="s">
        <v>1041</v>
      </c>
      <c r="S499" t="s">
        <v>36</v>
      </c>
      <c r="T499" t="str">
        <f>"85286"</f>
        <v>85286</v>
      </c>
      <c r="U499" t="str">
        <f>""</f>
        <v/>
      </c>
      <c r="V499" t="s">
        <v>1786</v>
      </c>
      <c r="X499" t="s">
        <v>1041</v>
      </c>
      <c r="Y499" t="s">
        <v>36</v>
      </c>
      <c r="Z499" t="str">
        <f>"85286"</f>
        <v>85286</v>
      </c>
      <c r="AA499" t="str">
        <f>""</f>
        <v/>
      </c>
      <c r="AB499" t="s">
        <v>40</v>
      </c>
    </row>
    <row r="500" spans="1:28" x14ac:dyDescent="0.25">
      <c r="A500">
        <v>4242</v>
      </c>
      <c r="B500" t="str">
        <f t="shared" si="68"/>
        <v>070280000</v>
      </c>
      <c r="C500" t="s">
        <v>1701</v>
      </c>
      <c r="D500">
        <v>89926</v>
      </c>
      <c r="E500" t="str">
        <f>"070280140"</f>
        <v>070280140</v>
      </c>
      <c r="F500" t="s">
        <v>1787</v>
      </c>
      <c r="G500" t="s">
        <v>42</v>
      </c>
      <c r="H500" t="s">
        <v>1709</v>
      </c>
      <c r="I500" t="s">
        <v>1710</v>
      </c>
      <c r="J500" t="s">
        <v>307</v>
      </c>
      <c r="K500" t="str">
        <f t="shared" si="69"/>
        <v>4808127240</v>
      </c>
      <c r="L500" t="str">
        <f>""</f>
        <v/>
      </c>
      <c r="M500" t="str">
        <f>""</f>
        <v/>
      </c>
      <c r="N500" t="str">
        <f>""</f>
        <v/>
      </c>
      <c r="O500" t="s">
        <v>1711</v>
      </c>
      <c r="P500" t="s">
        <v>1788</v>
      </c>
      <c r="R500" t="s">
        <v>1275</v>
      </c>
      <c r="S500" t="s">
        <v>36</v>
      </c>
      <c r="T500" t="str">
        <f>"85298"</f>
        <v>85298</v>
      </c>
      <c r="U500" t="str">
        <f>""</f>
        <v/>
      </c>
      <c r="V500" t="s">
        <v>1788</v>
      </c>
      <c r="X500" t="s">
        <v>1275</v>
      </c>
      <c r="Y500" t="s">
        <v>36</v>
      </c>
      <c r="Z500" t="str">
        <f>"85298"</f>
        <v>85298</v>
      </c>
      <c r="AA500" t="str">
        <f>""</f>
        <v/>
      </c>
      <c r="AB500" t="s">
        <v>40</v>
      </c>
    </row>
    <row r="501" spans="1:28" x14ac:dyDescent="0.25">
      <c r="A501">
        <v>4242</v>
      </c>
      <c r="B501" t="str">
        <f t="shared" si="68"/>
        <v>070280000</v>
      </c>
      <c r="C501" t="s">
        <v>1701</v>
      </c>
      <c r="D501">
        <v>90027</v>
      </c>
      <c r="E501" t="str">
        <f>"070280244"</f>
        <v>070280244</v>
      </c>
      <c r="F501" t="s">
        <v>1789</v>
      </c>
      <c r="G501" t="s">
        <v>42</v>
      </c>
      <c r="H501" t="s">
        <v>1709</v>
      </c>
      <c r="I501" t="s">
        <v>1710</v>
      </c>
      <c r="J501" t="s">
        <v>307</v>
      </c>
      <c r="K501" t="str">
        <f t="shared" si="69"/>
        <v>4808127240</v>
      </c>
      <c r="L501" t="str">
        <f>""</f>
        <v/>
      </c>
      <c r="M501" t="str">
        <f>""</f>
        <v/>
      </c>
      <c r="N501" t="str">
        <f>""</f>
        <v/>
      </c>
      <c r="O501" t="s">
        <v>1711</v>
      </c>
      <c r="P501" t="s">
        <v>1790</v>
      </c>
      <c r="R501" t="s">
        <v>1041</v>
      </c>
      <c r="S501" t="s">
        <v>36</v>
      </c>
      <c r="T501" t="str">
        <f>"85225"</f>
        <v>85225</v>
      </c>
      <c r="U501" t="str">
        <f>""</f>
        <v/>
      </c>
      <c r="V501" t="s">
        <v>1790</v>
      </c>
      <c r="X501" t="s">
        <v>1041</v>
      </c>
      <c r="Y501" t="s">
        <v>36</v>
      </c>
      <c r="Z501" t="str">
        <f>"85225"</f>
        <v>85225</v>
      </c>
      <c r="AA501" t="str">
        <f>""</f>
        <v/>
      </c>
      <c r="AB501" t="s">
        <v>40</v>
      </c>
    </row>
    <row r="502" spans="1:28" x14ac:dyDescent="0.25">
      <c r="A502">
        <v>4242</v>
      </c>
      <c r="B502" t="str">
        <f t="shared" si="68"/>
        <v>070280000</v>
      </c>
      <c r="C502" t="s">
        <v>1701</v>
      </c>
      <c r="D502">
        <v>90302</v>
      </c>
      <c r="E502" t="str">
        <f>"070280145"</f>
        <v>070280145</v>
      </c>
      <c r="F502" t="s">
        <v>1791</v>
      </c>
      <c r="G502" t="s">
        <v>42</v>
      </c>
      <c r="H502" t="s">
        <v>1709</v>
      </c>
      <c r="I502" t="s">
        <v>1710</v>
      </c>
      <c r="J502" t="s">
        <v>307</v>
      </c>
      <c r="K502" t="str">
        <f t="shared" si="69"/>
        <v>4808127240</v>
      </c>
      <c r="L502" t="str">
        <f>""</f>
        <v/>
      </c>
      <c r="M502" t="str">
        <f>""</f>
        <v/>
      </c>
      <c r="N502" t="str">
        <f>""</f>
        <v/>
      </c>
      <c r="O502" t="s">
        <v>1711</v>
      </c>
      <c r="P502" t="s">
        <v>1792</v>
      </c>
      <c r="R502" t="s">
        <v>1041</v>
      </c>
      <c r="S502" t="s">
        <v>36</v>
      </c>
      <c r="T502" t="str">
        <f>"85225"</f>
        <v>85225</v>
      </c>
      <c r="U502" t="str">
        <f>""</f>
        <v/>
      </c>
      <c r="V502" t="s">
        <v>1792</v>
      </c>
      <c r="X502" t="s">
        <v>1041</v>
      </c>
      <c r="Y502" t="s">
        <v>36</v>
      </c>
      <c r="Z502" t="str">
        <f>"85225"</f>
        <v>85225</v>
      </c>
      <c r="AA502" t="str">
        <f>""</f>
        <v/>
      </c>
      <c r="AB502" t="s">
        <v>40</v>
      </c>
    </row>
    <row r="503" spans="1:28" x14ac:dyDescent="0.25">
      <c r="A503">
        <v>4242</v>
      </c>
      <c r="B503" t="str">
        <f t="shared" si="68"/>
        <v>070280000</v>
      </c>
      <c r="C503" t="s">
        <v>1701</v>
      </c>
      <c r="D503">
        <v>91794</v>
      </c>
      <c r="E503" t="str">
        <f>"070280142"</f>
        <v>070280142</v>
      </c>
      <c r="F503" t="s">
        <v>1793</v>
      </c>
      <c r="G503" t="s">
        <v>42</v>
      </c>
      <c r="H503" t="s">
        <v>1709</v>
      </c>
      <c r="I503" t="s">
        <v>1710</v>
      </c>
      <c r="J503" t="s">
        <v>307</v>
      </c>
      <c r="K503" t="str">
        <f t="shared" si="69"/>
        <v>4808127240</v>
      </c>
      <c r="L503" t="str">
        <f>""</f>
        <v/>
      </c>
      <c r="M503" t="str">
        <f>""</f>
        <v/>
      </c>
      <c r="N503" t="str">
        <f>""</f>
        <v/>
      </c>
      <c r="O503" t="s">
        <v>1711</v>
      </c>
      <c r="P503" t="s">
        <v>1794</v>
      </c>
      <c r="R503" t="s">
        <v>1041</v>
      </c>
      <c r="S503" t="s">
        <v>36</v>
      </c>
      <c r="T503" t="str">
        <f>"85249"</f>
        <v>85249</v>
      </c>
      <c r="U503" t="str">
        <f>""</f>
        <v/>
      </c>
      <c r="V503" t="s">
        <v>1794</v>
      </c>
      <c r="X503" t="s">
        <v>1041</v>
      </c>
      <c r="Y503" t="s">
        <v>36</v>
      </c>
      <c r="Z503" t="str">
        <f>"85249"</f>
        <v>85249</v>
      </c>
      <c r="AA503" t="str">
        <f>""</f>
        <v/>
      </c>
      <c r="AB503" t="s">
        <v>40</v>
      </c>
    </row>
    <row r="504" spans="1:28" x14ac:dyDescent="0.25">
      <c r="A504">
        <v>4242</v>
      </c>
      <c r="B504" t="str">
        <f t="shared" si="68"/>
        <v>070280000</v>
      </c>
      <c r="C504" t="s">
        <v>1701</v>
      </c>
      <c r="D504">
        <v>92891</v>
      </c>
      <c r="E504" t="str">
        <f>"070280146"</f>
        <v>070280146</v>
      </c>
      <c r="F504" t="s">
        <v>1795</v>
      </c>
      <c r="G504" t="s">
        <v>42</v>
      </c>
      <c r="H504" t="s">
        <v>1709</v>
      </c>
      <c r="I504" t="s">
        <v>1710</v>
      </c>
      <c r="J504" t="s">
        <v>307</v>
      </c>
      <c r="K504" t="str">
        <f t="shared" si="69"/>
        <v>4808127240</v>
      </c>
      <c r="L504" t="str">
        <f>""</f>
        <v/>
      </c>
      <c r="M504" t="str">
        <f>""</f>
        <v/>
      </c>
      <c r="N504" t="str">
        <f>""</f>
        <v/>
      </c>
      <c r="O504" t="s">
        <v>1711</v>
      </c>
      <c r="P504" t="s">
        <v>1796</v>
      </c>
      <c r="R504" t="s">
        <v>1772</v>
      </c>
      <c r="S504" t="s">
        <v>36</v>
      </c>
      <c r="T504" t="str">
        <f>"85142"</f>
        <v>85142</v>
      </c>
      <c r="U504" t="str">
        <f>""</f>
        <v/>
      </c>
      <c r="V504" t="s">
        <v>1796</v>
      </c>
      <c r="X504" t="s">
        <v>1772</v>
      </c>
      <c r="Y504" t="s">
        <v>36</v>
      </c>
      <c r="Z504" t="str">
        <f>"85142"</f>
        <v>85142</v>
      </c>
      <c r="AA504" t="str">
        <f>""</f>
        <v/>
      </c>
      <c r="AB504" t="s">
        <v>40</v>
      </c>
    </row>
    <row r="505" spans="1:28" x14ac:dyDescent="0.25">
      <c r="A505">
        <v>4242</v>
      </c>
      <c r="B505" t="str">
        <f t="shared" si="68"/>
        <v>070280000</v>
      </c>
      <c r="C505" t="s">
        <v>1701</v>
      </c>
      <c r="D505">
        <v>92892</v>
      </c>
      <c r="E505" t="str">
        <f>"070280247"</f>
        <v>070280247</v>
      </c>
      <c r="F505" t="s">
        <v>1797</v>
      </c>
      <c r="G505" t="s">
        <v>42</v>
      </c>
      <c r="H505" t="s">
        <v>1709</v>
      </c>
      <c r="I505" t="s">
        <v>1710</v>
      </c>
      <c r="J505" t="s">
        <v>307</v>
      </c>
      <c r="K505" t="str">
        <f t="shared" si="69"/>
        <v>4808127240</v>
      </c>
      <c r="L505" t="str">
        <f>""</f>
        <v/>
      </c>
      <c r="M505" t="str">
        <f>""</f>
        <v/>
      </c>
      <c r="N505" t="str">
        <f>""</f>
        <v/>
      </c>
      <c r="O505" t="s">
        <v>1711</v>
      </c>
      <c r="P505" t="s">
        <v>1798</v>
      </c>
      <c r="R505" t="s">
        <v>1772</v>
      </c>
      <c r="S505" t="s">
        <v>36</v>
      </c>
      <c r="T505" t="str">
        <f>"85142"</f>
        <v>85142</v>
      </c>
      <c r="U505" t="str">
        <f>""</f>
        <v/>
      </c>
      <c r="V505" t="s">
        <v>1798</v>
      </c>
      <c r="X505" t="s">
        <v>1772</v>
      </c>
      <c r="Y505" t="s">
        <v>36</v>
      </c>
      <c r="Z505" t="str">
        <f>"85142"</f>
        <v>85142</v>
      </c>
      <c r="AA505" t="str">
        <f>""</f>
        <v/>
      </c>
      <c r="AB505" t="s">
        <v>40</v>
      </c>
    </row>
    <row r="506" spans="1:28" x14ac:dyDescent="0.25">
      <c r="A506">
        <v>4243</v>
      </c>
      <c r="B506" t="str">
        <f t="shared" ref="B506:B529" si="72">"070289000"</f>
        <v>070289000</v>
      </c>
      <c r="C506" t="s">
        <v>1799</v>
      </c>
      <c r="D506">
        <v>0</v>
      </c>
      <c r="E506" t="str">
        <f>""</f>
        <v/>
      </c>
      <c r="G506" t="s">
        <v>29</v>
      </c>
      <c r="H506" t="s">
        <v>1800</v>
      </c>
      <c r="I506" t="s">
        <v>1801</v>
      </c>
      <c r="J506" t="s">
        <v>1802</v>
      </c>
      <c r="K506" t="str">
        <f>"6238767989"</f>
        <v>6238767989</v>
      </c>
      <c r="L506" t="str">
        <f>""</f>
        <v/>
      </c>
      <c r="M506" t="str">
        <f>""</f>
        <v/>
      </c>
      <c r="N506" t="str">
        <f>""</f>
        <v/>
      </c>
      <c r="O506" t="s">
        <v>1803</v>
      </c>
      <c r="P506" t="s">
        <v>1804</v>
      </c>
      <c r="Q506" t="s">
        <v>1805</v>
      </c>
      <c r="R506" t="s">
        <v>1806</v>
      </c>
      <c r="S506" t="s">
        <v>36</v>
      </c>
      <c r="T506" t="str">
        <f>"85379"</f>
        <v>85379</v>
      </c>
      <c r="U506" t="str">
        <f>""</f>
        <v/>
      </c>
      <c r="V506" t="s">
        <v>1804</v>
      </c>
      <c r="W506" t="s">
        <v>1805</v>
      </c>
      <c r="X506" t="s">
        <v>1806</v>
      </c>
      <c r="Y506" t="s">
        <v>36</v>
      </c>
      <c r="Z506" t="str">
        <f>"85379"</f>
        <v>85379</v>
      </c>
      <c r="AA506" t="str">
        <f>""</f>
        <v/>
      </c>
      <c r="AB506" t="s">
        <v>86</v>
      </c>
    </row>
    <row r="507" spans="1:28" x14ac:dyDescent="0.25">
      <c r="A507">
        <v>4243</v>
      </c>
      <c r="B507" t="str">
        <f t="shared" si="72"/>
        <v>070289000</v>
      </c>
      <c r="C507" t="s">
        <v>1799</v>
      </c>
      <c r="D507">
        <v>5128</v>
      </c>
      <c r="E507" t="str">
        <f>"070289101"</f>
        <v>070289101</v>
      </c>
      <c r="F507" t="s">
        <v>1807</v>
      </c>
      <c r="G507" t="s">
        <v>42</v>
      </c>
      <c r="H507" t="s">
        <v>1808</v>
      </c>
      <c r="I507" t="s">
        <v>771</v>
      </c>
      <c r="J507" t="s">
        <v>315</v>
      </c>
      <c r="K507" t="str">
        <f>"6238767122"</f>
        <v>6238767122</v>
      </c>
      <c r="L507" t="str">
        <f>""</f>
        <v/>
      </c>
      <c r="M507" t="str">
        <f>""</f>
        <v/>
      </c>
      <c r="N507" t="str">
        <f>""</f>
        <v/>
      </c>
      <c r="O507" t="s">
        <v>1809</v>
      </c>
      <c r="P507" t="s">
        <v>1810</v>
      </c>
      <c r="R507" t="s">
        <v>1811</v>
      </c>
      <c r="S507" t="s">
        <v>36</v>
      </c>
      <c r="T507" t="str">
        <f>"85335"</f>
        <v>85335</v>
      </c>
      <c r="U507" t="str">
        <f>""</f>
        <v/>
      </c>
      <c r="V507" t="s">
        <v>1810</v>
      </c>
      <c r="X507" t="s">
        <v>1811</v>
      </c>
      <c r="Y507" t="s">
        <v>36</v>
      </c>
      <c r="Z507" t="str">
        <f>"85335"</f>
        <v>85335</v>
      </c>
      <c r="AA507" t="str">
        <f>""</f>
        <v/>
      </c>
      <c r="AB507" t="s">
        <v>86</v>
      </c>
    </row>
    <row r="508" spans="1:28" x14ac:dyDescent="0.25">
      <c r="A508">
        <v>4243</v>
      </c>
      <c r="B508" t="str">
        <f t="shared" si="72"/>
        <v>070289000</v>
      </c>
      <c r="C508" t="s">
        <v>1799</v>
      </c>
      <c r="D508">
        <v>5129</v>
      </c>
      <c r="E508" t="str">
        <f>"070289102"</f>
        <v>070289102</v>
      </c>
      <c r="F508" t="s">
        <v>1812</v>
      </c>
      <c r="G508" t="s">
        <v>42</v>
      </c>
      <c r="H508" t="s">
        <v>1813</v>
      </c>
      <c r="I508" t="s">
        <v>1814</v>
      </c>
      <c r="J508" t="s">
        <v>315</v>
      </c>
      <c r="K508" t="str">
        <f>"6238767226"</f>
        <v>6238767226</v>
      </c>
      <c r="L508" t="str">
        <f>""</f>
        <v/>
      </c>
      <c r="M508" t="str">
        <f>""</f>
        <v/>
      </c>
      <c r="N508" t="str">
        <f>""</f>
        <v/>
      </c>
      <c r="O508" t="s">
        <v>1815</v>
      </c>
      <c r="P508" t="s">
        <v>1816</v>
      </c>
      <c r="R508" t="s">
        <v>1811</v>
      </c>
      <c r="S508" t="s">
        <v>36</v>
      </c>
      <c r="T508" t="str">
        <f>"85335"</f>
        <v>85335</v>
      </c>
      <c r="U508" t="str">
        <f>""</f>
        <v/>
      </c>
      <c r="V508" t="s">
        <v>1816</v>
      </c>
      <c r="X508" t="s">
        <v>1811</v>
      </c>
      <c r="Y508" t="s">
        <v>36</v>
      </c>
      <c r="Z508" t="str">
        <f>"85335"</f>
        <v>85335</v>
      </c>
      <c r="AA508" t="str">
        <f>""</f>
        <v/>
      </c>
      <c r="AB508" t="s">
        <v>86</v>
      </c>
    </row>
    <row r="509" spans="1:28" x14ac:dyDescent="0.25">
      <c r="A509">
        <v>4243</v>
      </c>
      <c r="B509" t="str">
        <f t="shared" si="72"/>
        <v>070289000</v>
      </c>
      <c r="C509" t="s">
        <v>1799</v>
      </c>
      <c r="D509">
        <v>5130</v>
      </c>
      <c r="E509" t="str">
        <f>"070289103"</f>
        <v>070289103</v>
      </c>
      <c r="F509" t="s">
        <v>1817</v>
      </c>
      <c r="G509" t="s">
        <v>42</v>
      </c>
      <c r="H509" t="s">
        <v>1818</v>
      </c>
      <c r="I509" t="s">
        <v>1819</v>
      </c>
      <c r="J509" t="s">
        <v>315</v>
      </c>
      <c r="K509" t="str">
        <f>"6238767325"</f>
        <v>6238767325</v>
      </c>
      <c r="L509" t="str">
        <f>""</f>
        <v/>
      </c>
      <c r="M509" t="str">
        <f>""</f>
        <v/>
      </c>
      <c r="N509" t="str">
        <f>""</f>
        <v/>
      </c>
      <c r="O509" t="s">
        <v>1820</v>
      </c>
      <c r="P509" t="s">
        <v>1821</v>
      </c>
      <c r="R509" t="s">
        <v>1173</v>
      </c>
      <c r="S509" t="s">
        <v>36</v>
      </c>
      <c r="T509" t="str">
        <f>"85307"</f>
        <v>85307</v>
      </c>
      <c r="U509" t="str">
        <f>""</f>
        <v/>
      </c>
      <c r="V509" t="s">
        <v>1821</v>
      </c>
      <c r="X509" t="s">
        <v>1173</v>
      </c>
      <c r="Y509" t="s">
        <v>36</v>
      </c>
      <c r="Z509" t="str">
        <f>"85307"</f>
        <v>85307</v>
      </c>
      <c r="AA509" t="str">
        <f>""</f>
        <v/>
      </c>
      <c r="AB509" t="s">
        <v>86</v>
      </c>
    </row>
    <row r="510" spans="1:28" x14ac:dyDescent="0.25">
      <c r="A510">
        <v>4243</v>
      </c>
      <c r="B510" t="str">
        <f t="shared" si="72"/>
        <v>070289000</v>
      </c>
      <c r="C510" t="s">
        <v>1799</v>
      </c>
      <c r="D510">
        <v>5131</v>
      </c>
      <c r="E510" t="str">
        <f>"070289104"</f>
        <v>070289104</v>
      </c>
      <c r="F510" t="s">
        <v>1822</v>
      </c>
      <c r="G510" t="s">
        <v>42</v>
      </c>
      <c r="H510" t="s">
        <v>442</v>
      </c>
      <c r="I510" t="s">
        <v>1823</v>
      </c>
      <c r="J510" t="s">
        <v>315</v>
      </c>
      <c r="K510" t="str">
        <f>"6238767422"</f>
        <v>6238767422</v>
      </c>
      <c r="L510" t="str">
        <f>""</f>
        <v/>
      </c>
      <c r="M510" t="str">
        <f>""</f>
        <v/>
      </c>
      <c r="N510" t="str">
        <f>""</f>
        <v/>
      </c>
      <c r="O510" t="s">
        <v>1824</v>
      </c>
      <c r="P510" t="s">
        <v>1825</v>
      </c>
      <c r="R510" t="s">
        <v>1811</v>
      </c>
      <c r="S510" t="s">
        <v>36</v>
      </c>
      <c r="T510" t="str">
        <f>"85335"</f>
        <v>85335</v>
      </c>
      <c r="U510" t="str">
        <f>""</f>
        <v/>
      </c>
      <c r="V510" t="s">
        <v>1825</v>
      </c>
      <c r="X510" t="s">
        <v>1811</v>
      </c>
      <c r="Y510" t="s">
        <v>36</v>
      </c>
      <c r="Z510" t="str">
        <f>"85335"</f>
        <v>85335</v>
      </c>
      <c r="AA510" t="str">
        <f>""</f>
        <v/>
      </c>
      <c r="AB510" t="s">
        <v>86</v>
      </c>
    </row>
    <row r="511" spans="1:28" x14ac:dyDescent="0.25">
      <c r="A511">
        <v>4243</v>
      </c>
      <c r="B511" t="str">
        <f t="shared" si="72"/>
        <v>070289000</v>
      </c>
      <c r="C511" t="s">
        <v>1799</v>
      </c>
      <c r="D511">
        <v>5132</v>
      </c>
      <c r="E511" t="str">
        <f>"070289106"</f>
        <v>070289106</v>
      </c>
      <c r="F511" t="s">
        <v>1826</v>
      </c>
      <c r="G511" t="s">
        <v>42</v>
      </c>
      <c r="H511" t="s">
        <v>1827</v>
      </c>
      <c r="I511" t="s">
        <v>194</v>
      </c>
      <c r="J511" t="s">
        <v>315</v>
      </c>
      <c r="K511" t="str">
        <f>"6238767623"</f>
        <v>6238767623</v>
      </c>
      <c r="L511" t="str">
        <f>""</f>
        <v/>
      </c>
      <c r="M511" t="str">
        <f>""</f>
        <v/>
      </c>
      <c r="N511" t="str">
        <f>""</f>
        <v/>
      </c>
      <c r="O511" t="s">
        <v>1828</v>
      </c>
      <c r="P511" t="s">
        <v>1829</v>
      </c>
      <c r="R511" t="s">
        <v>1806</v>
      </c>
      <c r="S511" t="s">
        <v>36</v>
      </c>
      <c r="T511" t="str">
        <f>"85374"</f>
        <v>85374</v>
      </c>
      <c r="U511" t="str">
        <f>""</f>
        <v/>
      </c>
      <c r="V511" t="s">
        <v>1829</v>
      </c>
      <c r="X511" t="s">
        <v>1806</v>
      </c>
      <c r="Y511" t="s">
        <v>36</v>
      </c>
      <c r="Z511" t="str">
        <f>"85374"</f>
        <v>85374</v>
      </c>
      <c r="AA511" t="str">
        <f>""</f>
        <v/>
      </c>
      <c r="AB511" t="s">
        <v>86</v>
      </c>
    </row>
    <row r="512" spans="1:28" x14ac:dyDescent="0.25">
      <c r="A512">
        <v>4243</v>
      </c>
      <c r="B512" t="str">
        <f t="shared" si="72"/>
        <v>070289000</v>
      </c>
      <c r="C512" t="s">
        <v>1799</v>
      </c>
      <c r="D512">
        <v>5133</v>
      </c>
      <c r="E512" t="str">
        <f>"070289205"</f>
        <v>070289205</v>
      </c>
      <c r="F512" t="s">
        <v>1830</v>
      </c>
      <c r="G512" t="s">
        <v>42</v>
      </c>
      <c r="H512" t="s">
        <v>1831</v>
      </c>
      <c r="I512" t="s">
        <v>1832</v>
      </c>
      <c r="J512" t="s">
        <v>315</v>
      </c>
      <c r="K512" t="str">
        <f>"6238767515"</f>
        <v>6238767515</v>
      </c>
      <c r="L512" t="str">
        <f>""</f>
        <v/>
      </c>
      <c r="M512" t="str">
        <f>""</f>
        <v/>
      </c>
      <c r="N512" t="str">
        <f>""</f>
        <v/>
      </c>
      <c r="O512" t="s">
        <v>1833</v>
      </c>
      <c r="P512" t="s">
        <v>1834</v>
      </c>
      <c r="R512" t="s">
        <v>1811</v>
      </c>
      <c r="S512" t="s">
        <v>36</v>
      </c>
      <c r="T512" t="str">
        <f>"85335"</f>
        <v>85335</v>
      </c>
      <c r="U512" t="str">
        <f>""</f>
        <v/>
      </c>
      <c r="V512" t="s">
        <v>1834</v>
      </c>
      <c r="X512" t="s">
        <v>1811</v>
      </c>
      <c r="Y512" t="s">
        <v>36</v>
      </c>
      <c r="Z512" t="str">
        <f>"85335"</f>
        <v>85335</v>
      </c>
      <c r="AA512" t="str">
        <f>""</f>
        <v/>
      </c>
      <c r="AB512" t="s">
        <v>86</v>
      </c>
    </row>
    <row r="513" spans="1:28" x14ac:dyDescent="0.25">
      <c r="A513">
        <v>4243</v>
      </c>
      <c r="B513" t="str">
        <f t="shared" si="72"/>
        <v>070289000</v>
      </c>
      <c r="C513" t="s">
        <v>1799</v>
      </c>
      <c r="D513">
        <v>79632</v>
      </c>
      <c r="E513" t="str">
        <f>"070289108"</f>
        <v>070289108</v>
      </c>
      <c r="F513" t="s">
        <v>1835</v>
      </c>
      <c r="G513" t="s">
        <v>42</v>
      </c>
      <c r="H513" t="s">
        <v>1808</v>
      </c>
      <c r="I513" t="s">
        <v>771</v>
      </c>
      <c r="J513" t="s">
        <v>315</v>
      </c>
      <c r="K513" t="str">
        <f>"6238767709"</f>
        <v>6238767709</v>
      </c>
      <c r="L513" t="str">
        <f>""</f>
        <v/>
      </c>
      <c r="M513" t="str">
        <f>""</f>
        <v/>
      </c>
      <c r="N513" t="str">
        <f>""</f>
        <v/>
      </c>
      <c r="O513" t="s">
        <v>1809</v>
      </c>
      <c r="P513" t="s">
        <v>1836</v>
      </c>
      <c r="R513" t="s">
        <v>1806</v>
      </c>
      <c r="S513" t="s">
        <v>36</v>
      </c>
      <c r="T513" t="str">
        <f>"85374"</f>
        <v>85374</v>
      </c>
      <c r="U513" t="str">
        <f>""</f>
        <v/>
      </c>
      <c r="V513" t="s">
        <v>1836</v>
      </c>
      <c r="X513" t="s">
        <v>1806</v>
      </c>
      <c r="Y513" t="s">
        <v>36</v>
      </c>
      <c r="Z513" t="str">
        <f>"85374"</f>
        <v>85374</v>
      </c>
      <c r="AA513" t="str">
        <f>""</f>
        <v/>
      </c>
      <c r="AB513" t="s">
        <v>86</v>
      </c>
    </row>
    <row r="514" spans="1:28" x14ac:dyDescent="0.25">
      <c r="A514">
        <v>4243</v>
      </c>
      <c r="B514" t="str">
        <f t="shared" si="72"/>
        <v>070289000</v>
      </c>
      <c r="C514" t="s">
        <v>1799</v>
      </c>
      <c r="D514">
        <v>80052</v>
      </c>
      <c r="E514" t="str">
        <f>"070289109"</f>
        <v>070289109</v>
      </c>
      <c r="F514" t="s">
        <v>1837</v>
      </c>
      <c r="G514" t="s">
        <v>42</v>
      </c>
      <c r="H514" t="s">
        <v>1838</v>
      </c>
      <c r="I514" t="s">
        <v>1839</v>
      </c>
      <c r="J514" t="s">
        <v>315</v>
      </c>
      <c r="K514" t="str">
        <f>"6238767809"</f>
        <v>6238767809</v>
      </c>
      <c r="L514" t="str">
        <f>""</f>
        <v/>
      </c>
      <c r="M514" t="str">
        <f>""</f>
        <v/>
      </c>
      <c r="N514" t="str">
        <f>""</f>
        <v/>
      </c>
      <c r="O514" t="s">
        <v>1840</v>
      </c>
      <c r="P514" t="s">
        <v>1841</v>
      </c>
      <c r="R514" t="s">
        <v>1806</v>
      </c>
      <c r="S514" t="s">
        <v>36</v>
      </c>
      <c r="T514" t="str">
        <f>"85379"</f>
        <v>85379</v>
      </c>
      <c r="U514" t="str">
        <f>""</f>
        <v/>
      </c>
      <c r="V514" t="s">
        <v>1841</v>
      </c>
      <c r="X514" t="s">
        <v>1806</v>
      </c>
      <c r="Y514" t="s">
        <v>36</v>
      </c>
      <c r="Z514" t="str">
        <f>"85379"</f>
        <v>85379</v>
      </c>
      <c r="AA514" t="str">
        <f>""</f>
        <v/>
      </c>
      <c r="AB514" t="s">
        <v>86</v>
      </c>
    </row>
    <row r="515" spans="1:28" x14ac:dyDescent="0.25">
      <c r="A515">
        <v>4243</v>
      </c>
      <c r="B515" t="str">
        <f t="shared" si="72"/>
        <v>070289000</v>
      </c>
      <c r="C515" t="s">
        <v>1799</v>
      </c>
      <c r="D515">
        <v>81111</v>
      </c>
      <c r="E515" t="str">
        <f>"070289111"</f>
        <v>070289111</v>
      </c>
      <c r="F515" t="s">
        <v>1842</v>
      </c>
      <c r="G515" t="s">
        <v>42</v>
      </c>
      <c r="H515" t="s">
        <v>1843</v>
      </c>
      <c r="I515" t="s">
        <v>1844</v>
      </c>
      <c r="J515" t="s">
        <v>315</v>
      </c>
      <c r="K515" t="str">
        <f>"6235238394"</f>
        <v>6235238394</v>
      </c>
      <c r="L515" t="str">
        <f>""</f>
        <v/>
      </c>
      <c r="M515" t="str">
        <f>""</f>
        <v/>
      </c>
      <c r="N515" t="str">
        <f>""</f>
        <v/>
      </c>
      <c r="O515" t="s">
        <v>1845</v>
      </c>
      <c r="P515" t="s">
        <v>1846</v>
      </c>
      <c r="R515" t="s">
        <v>1806</v>
      </c>
      <c r="S515" t="s">
        <v>36</v>
      </c>
      <c r="T515" t="str">
        <f>"85379"</f>
        <v>85379</v>
      </c>
      <c r="U515" t="str">
        <f>""</f>
        <v/>
      </c>
      <c r="V515" t="s">
        <v>1846</v>
      </c>
      <c r="X515" t="s">
        <v>1806</v>
      </c>
      <c r="Y515" t="s">
        <v>36</v>
      </c>
      <c r="Z515" t="str">
        <f>"85379"</f>
        <v>85379</v>
      </c>
      <c r="AA515" t="str">
        <f>""</f>
        <v/>
      </c>
      <c r="AB515" t="s">
        <v>86</v>
      </c>
    </row>
    <row r="516" spans="1:28" x14ac:dyDescent="0.25">
      <c r="A516">
        <v>4243</v>
      </c>
      <c r="B516" t="str">
        <f t="shared" si="72"/>
        <v>070289000</v>
      </c>
      <c r="C516" t="s">
        <v>1799</v>
      </c>
      <c r="D516">
        <v>81112</v>
      </c>
      <c r="E516" t="str">
        <f>"070289112"</f>
        <v>070289112</v>
      </c>
      <c r="F516" t="s">
        <v>1847</v>
      </c>
      <c r="G516" t="s">
        <v>42</v>
      </c>
      <c r="H516" t="s">
        <v>1688</v>
      </c>
      <c r="I516" t="s">
        <v>1848</v>
      </c>
      <c r="J516" t="s">
        <v>315</v>
      </c>
      <c r="K516" t="str">
        <f>"6235238617"</f>
        <v>6235238617</v>
      </c>
      <c r="L516" t="str">
        <f>""</f>
        <v/>
      </c>
      <c r="M516" t="str">
        <f>"6235238611"</f>
        <v>6235238611</v>
      </c>
      <c r="N516" t="str">
        <f>""</f>
        <v/>
      </c>
      <c r="O516" t="s">
        <v>1849</v>
      </c>
      <c r="P516" t="s">
        <v>1850</v>
      </c>
      <c r="R516" t="s">
        <v>1806</v>
      </c>
      <c r="S516" t="s">
        <v>36</v>
      </c>
      <c r="T516" t="str">
        <f>"85374"</f>
        <v>85374</v>
      </c>
      <c r="U516" t="str">
        <f>""</f>
        <v/>
      </c>
      <c r="V516" t="s">
        <v>1850</v>
      </c>
      <c r="X516" t="s">
        <v>1806</v>
      </c>
      <c r="Y516" t="s">
        <v>36</v>
      </c>
      <c r="Z516" t="str">
        <f>"85374"</f>
        <v>85374</v>
      </c>
      <c r="AA516" t="str">
        <f>""</f>
        <v/>
      </c>
      <c r="AB516" t="s">
        <v>86</v>
      </c>
    </row>
    <row r="517" spans="1:28" x14ac:dyDescent="0.25">
      <c r="A517">
        <v>4243</v>
      </c>
      <c r="B517" t="str">
        <f t="shared" si="72"/>
        <v>070289000</v>
      </c>
      <c r="C517" t="s">
        <v>1799</v>
      </c>
      <c r="D517">
        <v>81113</v>
      </c>
      <c r="E517" t="str">
        <f>"070289210"</f>
        <v>070289210</v>
      </c>
      <c r="F517" t="s">
        <v>1851</v>
      </c>
      <c r="G517" t="s">
        <v>42</v>
      </c>
      <c r="H517" t="s">
        <v>1852</v>
      </c>
      <c r="I517" t="s">
        <v>1853</v>
      </c>
      <c r="J517" t="s">
        <v>315</v>
      </c>
      <c r="K517" t="str">
        <f>"6238767075"</f>
        <v>6238767075</v>
      </c>
      <c r="L517" t="str">
        <f>""</f>
        <v/>
      </c>
      <c r="M517" t="str">
        <f>"6238767088"</f>
        <v>6238767088</v>
      </c>
      <c r="N517" t="str">
        <f>""</f>
        <v/>
      </c>
      <c r="O517" t="s">
        <v>1854</v>
      </c>
      <c r="P517" t="s">
        <v>1855</v>
      </c>
      <c r="R517" t="s">
        <v>1806</v>
      </c>
      <c r="S517" t="s">
        <v>36</v>
      </c>
      <c r="T517" t="str">
        <f>"85374"</f>
        <v>85374</v>
      </c>
      <c r="U517" t="str">
        <f>""</f>
        <v/>
      </c>
      <c r="V517" t="s">
        <v>1855</v>
      </c>
      <c r="X517" t="s">
        <v>1806</v>
      </c>
      <c r="Y517" t="s">
        <v>36</v>
      </c>
      <c r="Z517" t="str">
        <f>"85374"</f>
        <v>85374</v>
      </c>
      <c r="AA517" t="str">
        <f>""</f>
        <v/>
      </c>
      <c r="AB517" t="s">
        <v>86</v>
      </c>
    </row>
    <row r="518" spans="1:28" x14ac:dyDescent="0.25">
      <c r="A518">
        <v>4243</v>
      </c>
      <c r="B518" t="str">
        <f t="shared" si="72"/>
        <v>070289000</v>
      </c>
      <c r="C518" t="s">
        <v>1799</v>
      </c>
      <c r="D518">
        <v>84683</v>
      </c>
      <c r="E518" t="str">
        <f>"070289116"</f>
        <v>070289116</v>
      </c>
      <c r="F518" t="s">
        <v>1856</v>
      </c>
      <c r="G518" t="s">
        <v>42</v>
      </c>
      <c r="H518" t="s">
        <v>1857</v>
      </c>
      <c r="I518" t="s">
        <v>1858</v>
      </c>
      <c r="J518" t="s">
        <v>315</v>
      </c>
      <c r="K518" t="str">
        <f>"6235238208"</f>
        <v>6235238208</v>
      </c>
      <c r="L518" t="str">
        <f>""</f>
        <v/>
      </c>
      <c r="M518" t="str">
        <f>"6235238211"</f>
        <v>6235238211</v>
      </c>
      <c r="N518" t="str">
        <f>""</f>
        <v/>
      </c>
      <c r="O518" t="s">
        <v>1859</v>
      </c>
      <c r="P518" t="s">
        <v>1860</v>
      </c>
      <c r="R518" t="s">
        <v>1806</v>
      </c>
      <c r="S518" t="s">
        <v>36</v>
      </c>
      <c r="T518" t="str">
        <f>"85379"</f>
        <v>85379</v>
      </c>
      <c r="U518" t="str">
        <f>""</f>
        <v/>
      </c>
      <c r="V518" t="s">
        <v>1860</v>
      </c>
      <c r="X518" t="s">
        <v>1806</v>
      </c>
      <c r="Y518" t="s">
        <v>36</v>
      </c>
      <c r="Z518" t="str">
        <f>"85379"</f>
        <v>85379</v>
      </c>
      <c r="AA518" t="str">
        <f>""</f>
        <v/>
      </c>
      <c r="AB518" t="s">
        <v>86</v>
      </c>
    </row>
    <row r="519" spans="1:28" x14ac:dyDescent="0.25">
      <c r="A519">
        <v>4243</v>
      </c>
      <c r="B519" t="str">
        <f t="shared" si="72"/>
        <v>070289000</v>
      </c>
      <c r="C519" t="s">
        <v>1799</v>
      </c>
      <c r="D519">
        <v>84684</v>
      </c>
      <c r="E519" t="str">
        <f>"070289117"</f>
        <v>070289117</v>
      </c>
      <c r="F519" t="s">
        <v>1861</v>
      </c>
      <c r="G519" t="s">
        <v>42</v>
      </c>
      <c r="H519" t="s">
        <v>1862</v>
      </c>
      <c r="I519" t="s">
        <v>1863</v>
      </c>
      <c r="J519" t="s">
        <v>315</v>
      </c>
      <c r="K519" t="str">
        <f>"6235238408"</f>
        <v>6235238408</v>
      </c>
      <c r="L519" t="str">
        <f>""</f>
        <v/>
      </c>
      <c r="M519" t="str">
        <f>"6235238411"</f>
        <v>6235238411</v>
      </c>
      <c r="N519" t="str">
        <f>""</f>
        <v/>
      </c>
      <c r="O519" t="s">
        <v>1864</v>
      </c>
      <c r="P519" t="s">
        <v>1865</v>
      </c>
      <c r="R519" t="s">
        <v>1811</v>
      </c>
      <c r="S519" t="s">
        <v>36</v>
      </c>
      <c r="T519" t="str">
        <f>"85335"</f>
        <v>85335</v>
      </c>
      <c r="U519" t="str">
        <f>""</f>
        <v/>
      </c>
      <c r="V519" t="s">
        <v>1865</v>
      </c>
      <c r="X519" t="s">
        <v>1811</v>
      </c>
      <c r="Y519" t="s">
        <v>36</v>
      </c>
      <c r="Z519" t="str">
        <f>"85335"</f>
        <v>85335</v>
      </c>
      <c r="AA519" t="str">
        <f>""</f>
        <v/>
      </c>
      <c r="AB519" t="s">
        <v>86</v>
      </c>
    </row>
    <row r="520" spans="1:28" x14ac:dyDescent="0.25">
      <c r="A520">
        <v>4243</v>
      </c>
      <c r="B520" t="str">
        <f t="shared" si="72"/>
        <v>070289000</v>
      </c>
      <c r="C520" t="s">
        <v>1799</v>
      </c>
      <c r="D520">
        <v>87620</v>
      </c>
      <c r="E520" t="str">
        <f>"070289118"</f>
        <v>070289118</v>
      </c>
      <c r="F520" t="s">
        <v>1866</v>
      </c>
      <c r="G520" t="s">
        <v>42</v>
      </c>
      <c r="H520" t="s">
        <v>752</v>
      </c>
      <c r="I520" t="s">
        <v>1867</v>
      </c>
      <c r="J520" t="s">
        <v>315</v>
      </c>
      <c r="K520" t="str">
        <f>"6235238700"</f>
        <v>6235238700</v>
      </c>
      <c r="L520" t="str">
        <f>""</f>
        <v/>
      </c>
      <c r="M520" t="str">
        <f>""</f>
        <v/>
      </c>
      <c r="N520" t="str">
        <f>""</f>
        <v/>
      </c>
      <c r="O520" t="s">
        <v>1868</v>
      </c>
      <c r="P520" t="s">
        <v>1869</v>
      </c>
      <c r="R520" t="s">
        <v>1806</v>
      </c>
      <c r="S520" t="s">
        <v>36</v>
      </c>
      <c r="T520" t="str">
        <f>"85379"</f>
        <v>85379</v>
      </c>
      <c r="U520" t="str">
        <f>""</f>
        <v/>
      </c>
      <c r="V520" t="s">
        <v>1869</v>
      </c>
      <c r="X520" t="s">
        <v>1806</v>
      </c>
      <c r="Y520" t="s">
        <v>36</v>
      </c>
      <c r="Z520" t="str">
        <f>"85379"</f>
        <v>85379</v>
      </c>
      <c r="AA520" t="str">
        <f>""</f>
        <v/>
      </c>
      <c r="AB520" t="s">
        <v>86</v>
      </c>
    </row>
    <row r="521" spans="1:28" x14ac:dyDescent="0.25">
      <c r="A521">
        <v>4243</v>
      </c>
      <c r="B521" t="str">
        <f t="shared" si="72"/>
        <v>070289000</v>
      </c>
      <c r="C521" t="s">
        <v>1799</v>
      </c>
      <c r="D521">
        <v>87621</v>
      </c>
      <c r="E521" t="str">
        <f>"070289119"</f>
        <v>070289119</v>
      </c>
      <c r="F521" t="s">
        <v>1870</v>
      </c>
      <c r="G521" t="s">
        <v>42</v>
      </c>
      <c r="H521" t="s">
        <v>1375</v>
      </c>
      <c r="I521" t="s">
        <v>1685</v>
      </c>
      <c r="J521" t="s">
        <v>315</v>
      </c>
      <c r="K521" t="str">
        <f>"6235238500"</f>
        <v>6235238500</v>
      </c>
      <c r="L521" t="str">
        <f>""</f>
        <v/>
      </c>
      <c r="M521" t="str">
        <f>""</f>
        <v/>
      </c>
      <c r="N521" t="str">
        <f>""</f>
        <v/>
      </c>
      <c r="O521" t="s">
        <v>1871</v>
      </c>
      <c r="P521" t="s">
        <v>1872</v>
      </c>
      <c r="R521" t="s">
        <v>1806</v>
      </c>
      <c r="S521" t="s">
        <v>36</v>
      </c>
      <c r="T521" t="str">
        <f>"85274"</f>
        <v>85274</v>
      </c>
      <c r="U521" t="str">
        <f>""</f>
        <v/>
      </c>
      <c r="V521" t="s">
        <v>1872</v>
      </c>
      <c r="X521" t="s">
        <v>1806</v>
      </c>
      <c r="Y521" t="s">
        <v>36</v>
      </c>
      <c r="Z521" t="str">
        <f>"85274"</f>
        <v>85274</v>
      </c>
      <c r="AA521" t="str">
        <f>""</f>
        <v/>
      </c>
      <c r="AB521" t="s">
        <v>86</v>
      </c>
    </row>
    <row r="522" spans="1:28" x14ac:dyDescent="0.25">
      <c r="A522">
        <v>4243</v>
      </c>
      <c r="B522" t="str">
        <f t="shared" si="72"/>
        <v>070289000</v>
      </c>
      <c r="C522" t="s">
        <v>1799</v>
      </c>
      <c r="D522">
        <v>88414</v>
      </c>
      <c r="E522" t="str">
        <f>"070289120"</f>
        <v>070289120</v>
      </c>
      <c r="F522" t="s">
        <v>1873</v>
      </c>
      <c r="G522" t="s">
        <v>42</v>
      </c>
      <c r="H522" t="s">
        <v>1874</v>
      </c>
      <c r="I522" t="s">
        <v>1875</v>
      </c>
      <c r="J522" t="s">
        <v>315</v>
      </c>
      <c r="K522" t="str">
        <f>"6235238550"</f>
        <v>6235238550</v>
      </c>
      <c r="L522" t="str">
        <f>""</f>
        <v/>
      </c>
      <c r="M522" t="str">
        <f>""</f>
        <v/>
      </c>
      <c r="N522" t="str">
        <f>""</f>
        <v/>
      </c>
      <c r="O522" t="s">
        <v>1876</v>
      </c>
      <c r="P522" t="s">
        <v>1877</v>
      </c>
      <c r="R522" t="s">
        <v>1806</v>
      </c>
      <c r="S522" t="s">
        <v>36</v>
      </c>
      <c r="T522" t="str">
        <f>"85374"</f>
        <v>85374</v>
      </c>
      <c r="U522" t="str">
        <f>""</f>
        <v/>
      </c>
      <c r="V522" t="s">
        <v>1877</v>
      </c>
      <c r="X522" t="s">
        <v>1806</v>
      </c>
      <c r="Y522" t="s">
        <v>36</v>
      </c>
      <c r="Z522" t="str">
        <f>"85374"</f>
        <v>85374</v>
      </c>
      <c r="AA522" t="str">
        <f>""</f>
        <v/>
      </c>
      <c r="AB522" t="s">
        <v>86</v>
      </c>
    </row>
    <row r="523" spans="1:28" x14ac:dyDescent="0.25">
      <c r="A523">
        <v>4243</v>
      </c>
      <c r="B523" t="str">
        <f t="shared" si="72"/>
        <v>070289000</v>
      </c>
      <c r="C523" t="s">
        <v>1799</v>
      </c>
      <c r="D523">
        <v>88415</v>
      </c>
      <c r="E523" t="str">
        <f>"070289121"</f>
        <v>070289121</v>
      </c>
      <c r="F523" t="s">
        <v>1878</v>
      </c>
      <c r="G523" t="s">
        <v>42</v>
      </c>
      <c r="H523" t="s">
        <v>1879</v>
      </c>
      <c r="I523" t="s">
        <v>1880</v>
      </c>
      <c r="J523" t="s">
        <v>315</v>
      </c>
      <c r="K523" t="str">
        <f>"6235238750"</f>
        <v>6235238750</v>
      </c>
      <c r="L523" t="str">
        <f>""</f>
        <v/>
      </c>
      <c r="M523" t="str">
        <f>""</f>
        <v/>
      </c>
      <c r="N523" t="str">
        <f>""</f>
        <v/>
      </c>
      <c r="O523" t="s">
        <v>1881</v>
      </c>
      <c r="P523" t="s">
        <v>1882</v>
      </c>
      <c r="R523" t="s">
        <v>1806</v>
      </c>
      <c r="S523" t="s">
        <v>36</v>
      </c>
      <c r="T523" t="str">
        <f>"85374"</f>
        <v>85374</v>
      </c>
      <c r="U523" t="str">
        <f>""</f>
        <v/>
      </c>
      <c r="V523" t="s">
        <v>1882</v>
      </c>
      <c r="X523" t="s">
        <v>1806</v>
      </c>
      <c r="Y523" t="s">
        <v>36</v>
      </c>
      <c r="Z523" t="str">
        <f>"85374"</f>
        <v>85374</v>
      </c>
      <c r="AA523" t="str">
        <f>""</f>
        <v/>
      </c>
      <c r="AB523" t="s">
        <v>86</v>
      </c>
    </row>
    <row r="524" spans="1:28" x14ac:dyDescent="0.25">
      <c r="A524">
        <v>4243</v>
      </c>
      <c r="B524" t="str">
        <f t="shared" si="72"/>
        <v>070289000</v>
      </c>
      <c r="C524" t="s">
        <v>1799</v>
      </c>
      <c r="D524">
        <v>88416</v>
      </c>
      <c r="E524" t="str">
        <f>"070289122"</f>
        <v>070289122</v>
      </c>
      <c r="F524" t="s">
        <v>1883</v>
      </c>
      <c r="G524" t="s">
        <v>42</v>
      </c>
      <c r="H524" t="s">
        <v>1884</v>
      </c>
      <c r="I524" t="s">
        <v>436</v>
      </c>
      <c r="J524" t="s">
        <v>315</v>
      </c>
      <c r="K524" t="str">
        <f>"6235238650"</f>
        <v>6235238650</v>
      </c>
      <c r="L524" t="str">
        <f>""</f>
        <v/>
      </c>
      <c r="M524" t="str">
        <f>""</f>
        <v/>
      </c>
      <c r="N524" t="str">
        <f>""</f>
        <v/>
      </c>
      <c r="O524" t="s">
        <v>1885</v>
      </c>
      <c r="P524" t="s">
        <v>1886</v>
      </c>
      <c r="R524" t="s">
        <v>1806</v>
      </c>
      <c r="S524" t="s">
        <v>36</v>
      </c>
      <c r="T524" t="str">
        <f>"85374"</f>
        <v>85374</v>
      </c>
      <c r="U524" t="str">
        <f>""</f>
        <v/>
      </c>
      <c r="V524" t="s">
        <v>1886</v>
      </c>
      <c r="X524" t="s">
        <v>1806</v>
      </c>
      <c r="Y524" t="s">
        <v>36</v>
      </c>
      <c r="Z524" t="str">
        <f>"85374"</f>
        <v>85374</v>
      </c>
      <c r="AA524" t="str">
        <f>""</f>
        <v/>
      </c>
      <c r="AB524" t="s">
        <v>86</v>
      </c>
    </row>
    <row r="525" spans="1:28" x14ac:dyDescent="0.25">
      <c r="A525">
        <v>4243</v>
      </c>
      <c r="B525" t="str">
        <f t="shared" si="72"/>
        <v>070289000</v>
      </c>
      <c r="C525" t="s">
        <v>1799</v>
      </c>
      <c r="D525">
        <v>88417</v>
      </c>
      <c r="E525" t="str">
        <f>"070289220"</f>
        <v>070289220</v>
      </c>
      <c r="F525" t="s">
        <v>1887</v>
      </c>
      <c r="G525" t="s">
        <v>42</v>
      </c>
      <c r="H525" t="s">
        <v>1888</v>
      </c>
      <c r="I525" t="s">
        <v>1889</v>
      </c>
      <c r="J525" t="s">
        <v>315</v>
      </c>
      <c r="K525" t="str">
        <f>"6235238800"</f>
        <v>6235238800</v>
      </c>
      <c r="L525" t="str">
        <f>""</f>
        <v/>
      </c>
      <c r="M525" t="str">
        <f>""</f>
        <v/>
      </c>
      <c r="N525" t="str">
        <f>""</f>
        <v/>
      </c>
      <c r="O525" t="s">
        <v>1890</v>
      </c>
      <c r="P525" t="s">
        <v>1891</v>
      </c>
      <c r="R525" t="s">
        <v>1806</v>
      </c>
      <c r="S525" t="s">
        <v>36</v>
      </c>
      <c r="T525" t="str">
        <f>"85374"</f>
        <v>85374</v>
      </c>
      <c r="U525" t="str">
        <f>""</f>
        <v/>
      </c>
      <c r="V525" t="s">
        <v>1891</v>
      </c>
      <c r="X525" t="s">
        <v>1806</v>
      </c>
      <c r="Y525" t="s">
        <v>36</v>
      </c>
      <c r="Z525" t="str">
        <f>"85374"</f>
        <v>85374</v>
      </c>
      <c r="AA525" t="str">
        <f>""</f>
        <v/>
      </c>
      <c r="AB525" t="s">
        <v>86</v>
      </c>
    </row>
    <row r="526" spans="1:28" x14ac:dyDescent="0.25">
      <c r="A526">
        <v>4243</v>
      </c>
      <c r="B526" t="str">
        <f t="shared" si="72"/>
        <v>070289000</v>
      </c>
      <c r="C526" t="s">
        <v>1799</v>
      </c>
      <c r="D526">
        <v>89600</v>
      </c>
      <c r="E526" t="str">
        <f>"070289124"</f>
        <v>070289124</v>
      </c>
      <c r="F526" t="s">
        <v>1892</v>
      </c>
      <c r="G526" t="s">
        <v>42</v>
      </c>
      <c r="H526" t="s">
        <v>1893</v>
      </c>
      <c r="I526" t="s">
        <v>110</v>
      </c>
      <c r="J526" t="s">
        <v>315</v>
      </c>
      <c r="K526" t="str">
        <f>"6235238450"</f>
        <v>6235238450</v>
      </c>
      <c r="L526" t="str">
        <f>""</f>
        <v/>
      </c>
      <c r="M526" t="str">
        <f>""</f>
        <v/>
      </c>
      <c r="N526" t="str">
        <f>""</f>
        <v/>
      </c>
      <c r="O526" t="s">
        <v>1894</v>
      </c>
      <c r="P526" t="s">
        <v>1895</v>
      </c>
      <c r="R526" t="s">
        <v>1806</v>
      </c>
      <c r="S526" t="s">
        <v>36</v>
      </c>
      <c r="T526" t="str">
        <f>"85388"</f>
        <v>85388</v>
      </c>
      <c r="U526" t="str">
        <f>""</f>
        <v/>
      </c>
      <c r="V526" t="s">
        <v>1895</v>
      </c>
      <c r="X526" t="s">
        <v>1806</v>
      </c>
      <c r="Y526" t="s">
        <v>36</v>
      </c>
      <c r="Z526" t="str">
        <f>"85388"</f>
        <v>85388</v>
      </c>
      <c r="AA526" t="str">
        <f>""</f>
        <v/>
      </c>
      <c r="AB526" t="s">
        <v>86</v>
      </c>
    </row>
    <row r="527" spans="1:28" x14ac:dyDescent="0.25">
      <c r="A527">
        <v>4243</v>
      </c>
      <c r="B527" t="str">
        <f t="shared" si="72"/>
        <v>070289000</v>
      </c>
      <c r="C527" t="s">
        <v>1799</v>
      </c>
      <c r="D527">
        <v>89604</v>
      </c>
      <c r="E527" t="str">
        <f>"070289123"</f>
        <v>070289123</v>
      </c>
      <c r="F527" t="s">
        <v>1896</v>
      </c>
      <c r="G527" t="s">
        <v>42</v>
      </c>
      <c r="H527" t="s">
        <v>1318</v>
      </c>
      <c r="I527" t="s">
        <v>1897</v>
      </c>
      <c r="J527" t="s">
        <v>315</v>
      </c>
      <c r="K527" t="str">
        <f>"6238767450"</f>
        <v>6238767450</v>
      </c>
      <c r="L527" t="str">
        <f>""</f>
        <v/>
      </c>
      <c r="M527" t="str">
        <f>""</f>
        <v/>
      </c>
      <c r="N527" t="str">
        <f>""</f>
        <v/>
      </c>
      <c r="O527" t="s">
        <v>1898</v>
      </c>
      <c r="P527" t="s">
        <v>1899</v>
      </c>
      <c r="R527" t="s">
        <v>1900</v>
      </c>
      <c r="S527" t="s">
        <v>36</v>
      </c>
      <c r="T527" t="str">
        <f>"85355"</f>
        <v>85355</v>
      </c>
      <c r="U527" t="str">
        <f>""</f>
        <v/>
      </c>
      <c r="V527" t="s">
        <v>1899</v>
      </c>
      <c r="X527" t="s">
        <v>1900</v>
      </c>
      <c r="Y527" t="s">
        <v>36</v>
      </c>
      <c r="Z527" t="str">
        <f>"85355"</f>
        <v>85355</v>
      </c>
      <c r="AA527" t="str">
        <f>""</f>
        <v/>
      </c>
      <c r="AB527" t="s">
        <v>86</v>
      </c>
    </row>
    <row r="528" spans="1:28" x14ac:dyDescent="0.25">
      <c r="A528">
        <v>4243</v>
      </c>
      <c r="B528" t="str">
        <f t="shared" si="72"/>
        <v>070289000</v>
      </c>
      <c r="C528" t="s">
        <v>1799</v>
      </c>
      <c r="D528">
        <v>89821</v>
      </c>
      <c r="E528" t="str">
        <f>"070289127"</f>
        <v>070289127</v>
      </c>
      <c r="F528" t="s">
        <v>1901</v>
      </c>
      <c r="G528" t="s">
        <v>42</v>
      </c>
      <c r="H528" t="s">
        <v>435</v>
      </c>
      <c r="I528" t="s">
        <v>1902</v>
      </c>
      <c r="J528" t="s">
        <v>315</v>
      </c>
      <c r="K528" t="str">
        <f>"6235238950"</f>
        <v>6235238950</v>
      </c>
      <c r="L528" t="str">
        <f>""</f>
        <v/>
      </c>
      <c r="M528" t="str">
        <f>""</f>
        <v/>
      </c>
      <c r="N528" t="str">
        <f>""</f>
        <v/>
      </c>
      <c r="O528" t="s">
        <v>1903</v>
      </c>
      <c r="P528" t="s">
        <v>1904</v>
      </c>
      <c r="R528" t="s">
        <v>1811</v>
      </c>
      <c r="S528" t="s">
        <v>36</v>
      </c>
      <c r="T528" t="str">
        <f>"85335"</f>
        <v>85335</v>
      </c>
      <c r="U528" t="str">
        <f>""</f>
        <v/>
      </c>
      <c r="V528" t="s">
        <v>1904</v>
      </c>
      <c r="X528" t="s">
        <v>1811</v>
      </c>
      <c r="Y528" t="s">
        <v>36</v>
      </c>
      <c r="Z528" t="str">
        <f>"85335"</f>
        <v>85335</v>
      </c>
      <c r="AA528" t="str">
        <f>""</f>
        <v/>
      </c>
      <c r="AB528" t="s">
        <v>86</v>
      </c>
    </row>
    <row r="529" spans="1:28" x14ac:dyDescent="0.25">
      <c r="A529">
        <v>4243</v>
      </c>
      <c r="B529" t="str">
        <f t="shared" si="72"/>
        <v>070289000</v>
      </c>
      <c r="C529" t="s">
        <v>1799</v>
      </c>
      <c r="D529">
        <v>90134</v>
      </c>
      <c r="E529" t="str">
        <f>"070289225"</f>
        <v>070289225</v>
      </c>
      <c r="F529" t="s">
        <v>1905</v>
      </c>
      <c r="G529" t="s">
        <v>42</v>
      </c>
      <c r="H529" t="s">
        <v>1906</v>
      </c>
      <c r="I529" t="s">
        <v>1907</v>
      </c>
      <c r="J529" t="s">
        <v>315</v>
      </c>
      <c r="K529" t="str">
        <f>"6235238000"</f>
        <v>6235238000</v>
      </c>
      <c r="L529" t="str">
        <f>""</f>
        <v/>
      </c>
      <c r="M529" t="str">
        <f>""</f>
        <v/>
      </c>
      <c r="N529" t="str">
        <f>""</f>
        <v/>
      </c>
      <c r="O529" t="s">
        <v>1908</v>
      </c>
      <c r="P529" t="s">
        <v>1909</v>
      </c>
      <c r="R529" t="s">
        <v>1900</v>
      </c>
      <c r="S529" t="s">
        <v>36</v>
      </c>
      <c r="T529" t="str">
        <f>"85355"</f>
        <v>85355</v>
      </c>
      <c r="U529" t="str">
        <f>""</f>
        <v/>
      </c>
      <c r="V529" t="s">
        <v>1909</v>
      </c>
      <c r="X529" t="s">
        <v>1900</v>
      </c>
      <c r="Y529" t="s">
        <v>36</v>
      </c>
      <c r="Z529" t="str">
        <f>"85355"</f>
        <v>85355</v>
      </c>
      <c r="AA529" t="str">
        <f>""</f>
        <v/>
      </c>
      <c r="AB529" t="s">
        <v>86</v>
      </c>
    </row>
    <row r="530" spans="1:28" x14ac:dyDescent="0.25">
      <c r="A530">
        <v>4244</v>
      </c>
      <c r="B530" t="str">
        <f t="shared" ref="B530:B537" si="73">"070293000"</f>
        <v>070293000</v>
      </c>
      <c r="C530" t="s">
        <v>1910</v>
      </c>
      <c r="D530">
        <v>0</v>
      </c>
      <c r="E530" t="str">
        <f>""</f>
        <v/>
      </c>
      <c r="G530" t="s">
        <v>29</v>
      </c>
      <c r="H530" t="s">
        <v>1911</v>
      </c>
      <c r="I530" t="s">
        <v>1912</v>
      </c>
      <c r="J530" t="s">
        <v>1913</v>
      </c>
      <c r="K530" t="str">
        <f t="shared" ref="K530:K537" si="74">"4805752437"</f>
        <v>4805752437</v>
      </c>
      <c r="L530" t="str">
        <f>""</f>
        <v/>
      </c>
      <c r="M530" t="str">
        <f>""</f>
        <v/>
      </c>
      <c r="N530" t="str">
        <f>""</f>
        <v/>
      </c>
      <c r="O530" t="s">
        <v>1914</v>
      </c>
      <c r="P530" t="s">
        <v>1915</v>
      </c>
      <c r="R530" t="s">
        <v>1916</v>
      </c>
      <c r="S530" t="s">
        <v>36</v>
      </c>
      <c r="T530" t="str">
        <f t="shared" ref="T530:T537" si="75">"85327"</f>
        <v>85327</v>
      </c>
      <c r="U530" t="str">
        <f>""</f>
        <v/>
      </c>
      <c r="V530" t="s">
        <v>1917</v>
      </c>
      <c r="X530" t="s">
        <v>1465</v>
      </c>
      <c r="Y530" t="s">
        <v>36</v>
      </c>
      <c r="Z530" t="str">
        <f>"85266"</f>
        <v>85266</v>
      </c>
      <c r="AA530" t="str">
        <f>""</f>
        <v/>
      </c>
      <c r="AB530" t="s">
        <v>632</v>
      </c>
    </row>
    <row r="531" spans="1:28" x14ac:dyDescent="0.25">
      <c r="A531">
        <v>4244</v>
      </c>
      <c r="B531" t="str">
        <f t="shared" si="73"/>
        <v>070293000</v>
      </c>
      <c r="C531" t="s">
        <v>1910</v>
      </c>
      <c r="D531">
        <v>5134</v>
      </c>
      <c r="E531" t="str">
        <f>"070293102"</f>
        <v>070293102</v>
      </c>
      <c r="F531" t="s">
        <v>1918</v>
      </c>
      <c r="G531" t="s">
        <v>42</v>
      </c>
      <c r="H531" t="s">
        <v>1911</v>
      </c>
      <c r="I531" t="s">
        <v>1912</v>
      </c>
      <c r="J531" t="s">
        <v>1913</v>
      </c>
      <c r="K531" t="str">
        <f t="shared" si="74"/>
        <v>4805752437</v>
      </c>
      <c r="L531" t="str">
        <f>""</f>
        <v/>
      </c>
      <c r="M531" t="str">
        <f>"4805750000"</f>
        <v>4805750000</v>
      </c>
      <c r="N531" t="str">
        <f>""</f>
        <v/>
      </c>
      <c r="O531" t="s">
        <v>1914</v>
      </c>
      <c r="P531" t="s">
        <v>1915</v>
      </c>
      <c r="R531" t="s">
        <v>1916</v>
      </c>
      <c r="S531" t="s">
        <v>36</v>
      </c>
      <c r="T531" t="str">
        <f t="shared" si="75"/>
        <v>85327</v>
      </c>
      <c r="U531" t="str">
        <f>""</f>
        <v/>
      </c>
      <c r="V531" t="s">
        <v>1919</v>
      </c>
      <c r="X531" t="s">
        <v>1916</v>
      </c>
      <c r="Y531" t="s">
        <v>36</v>
      </c>
      <c r="Z531" t="str">
        <f>"85331"</f>
        <v>85331</v>
      </c>
      <c r="AA531" t="str">
        <f>""</f>
        <v/>
      </c>
      <c r="AB531" t="s">
        <v>632</v>
      </c>
    </row>
    <row r="532" spans="1:28" x14ac:dyDescent="0.25">
      <c r="A532">
        <v>4244</v>
      </c>
      <c r="B532" t="str">
        <f t="shared" si="73"/>
        <v>070293000</v>
      </c>
      <c r="C532" t="s">
        <v>1910</v>
      </c>
      <c r="D532">
        <v>5136</v>
      </c>
      <c r="E532" t="str">
        <f>"070293106"</f>
        <v>070293106</v>
      </c>
      <c r="F532" t="s">
        <v>1920</v>
      </c>
      <c r="G532" t="s">
        <v>42</v>
      </c>
      <c r="H532" t="s">
        <v>1911</v>
      </c>
      <c r="I532" t="s">
        <v>1912</v>
      </c>
      <c r="J532" t="s">
        <v>1913</v>
      </c>
      <c r="K532" t="str">
        <f t="shared" si="74"/>
        <v>4805752437</v>
      </c>
      <c r="L532" t="str">
        <f>""</f>
        <v/>
      </c>
      <c r="M532" t="str">
        <f t="shared" ref="M532:M537" si="76">"4805752454"</f>
        <v>4805752454</v>
      </c>
      <c r="N532" t="str">
        <f>""</f>
        <v/>
      </c>
      <c r="O532" t="s">
        <v>1914</v>
      </c>
      <c r="P532" t="s">
        <v>1915</v>
      </c>
      <c r="R532" t="s">
        <v>1916</v>
      </c>
      <c r="S532" t="s">
        <v>36</v>
      </c>
      <c r="T532" t="str">
        <f t="shared" si="75"/>
        <v>85327</v>
      </c>
      <c r="U532" t="str">
        <f>""</f>
        <v/>
      </c>
      <c r="V532" t="s">
        <v>1921</v>
      </c>
      <c r="X532" t="s">
        <v>1916</v>
      </c>
      <c r="Y532" t="s">
        <v>36</v>
      </c>
      <c r="Z532" t="str">
        <f>"85331"</f>
        <v>85331</v>
      </c>
      <c r="AA532" t="str">
        <f>""</f>
        <v/>
      </c>
      <c r="AB532" t="s">
        <v>632</v>
      </c>
    </row>
    <row r="533" spans="1:28" x14ac:dyDescent="0.25">
      <c r="A533">
        <v>4244</v>
      </c>
      <c r="B533" t="str">
        <f t="shared" si="73"/>
        <v>070293000</v>
      </c>
      <c r="C533" t="s">
        <v>1910</v>
      </c>
      <c r="D533">
        <v>5137</v>
      </c>
      <c r="E533" t="str">
        <f>"070293204"</f>
        <v>070293204</v>
      </c>
      <c r="F533" t="s">
        <v>1922</v>
      </c>
      <c r="G533" t="s">
        <v>42</v>
      </c>
      <c r="H533" t="s">
        <v>1911</v>
      </c>
      <c r="I533" t="s">
        <v>1912</v>
      </c>
      <c r="J533" t="s">
        <v>1913</v>
      </c>
      <c r="K533" t="str">
        <f t="shared" si="74"/>
        <v>4805752437</v>
      </c>
      <c r="L533" t="str">
        <f>""</f>
        <v/>
      </c>
      <c r="M533" t="str">
        <f t="shared" si="76"/>
        <v>4805752454</v>
      </c>
      <c r="N533" t="str">
        <f>""</f>
        <v/>
      </c>
      <c r="O533" t="s">
        <v>1914</v>
      </c>
      <c r="P533" t="s">
        <v>1915</v>
      </c>
      <c r="R533" t="s">
        <v>1916</v>
      </c>
      <c r="S533" t="s">
        <v>36</v>
      </c>
      <c r="T533" t="str">
        <f t="shared" si="75"/>
        <v>85327</v>
      </c>
      <c r="U533" t="str">
        <f>""</f>
        <v/>
      </c>
      <c r="V533" t="s">
        <v>1923</v>
      </c>
      <c r="X533" t="s">
        <v>1916</v>
      </c>
      <c r="Y533" t="s">
        <v>36</v>
      </c>
      <c r="Z533" t="str">
        <f>"85331"</f>
        <v>85331</v>
      </c>
      <c r="AA533" t="str">
        <f>""</f>
        <v/>
      </c>
      <c r="AB533" t="s">
        <v>632</v>
      </c>
    </row>
    <row r="534" spans="1:28" x14ac:dyDescent="0.25">
      <c r="A534">
        <v>4244</v>
      </c>
      <c r="B534" t="str">
        <f t="shared" si="73"/>
        <v>070293000</v>
      </c>
      <c r="C534" t="s">
        <v>1910</v>
      </c>
      <c r="D534">
        <v>78911</v>
      </c>
      <c r="E534" t="str">
        <f>"070293101"</f>
        <v>070293101</v>
      </c>
      <c r="F534" t="s">
        <v>1924</v>
      </c>
      <c r="G534" t="s">
        <v>42</v>
      </c>
      <c r="H534" t="s">
        <v>1911</v>
      </c>
      <c r="I534" t="s">
        <v>1912</v>
      </c>
      <c r="J534" t="s">
        <v>1913</v>
      </c>
      <c r="K534" t="str">
        <f t="shared" si="74"/>
        <v>4805752437</v>
      </c>
      <c r="L534" t="str">
        <f>""</f>
        <v/>
      </c>
      <c r="M534" t="str">
        <f t="shared" si="76"/>
        <v>4805752454</v>
      </c>
      <c r="N534" t="str">
        <f>""</f>
        <v/>
      </c>
      <c r="O534" t="s">
        <v>1914</v>
      </c>
      <c r="P534" t="s">
        <v>1915</v>
      </c>
      <c r="R534" t="s">
        <v>1916</v>
      </c>
      <c r="S534" t="s">
        <v>36</v>
      </c>
      <c r="T534" t="str">
        <f t="shared" si="75"/>
        <v>85327</v>
      </c>
      <c r="U534" t="str">
        <f>""</f>
        <v/>
      </c>
      <c r="V534" t="s">
        <v>1925</v>
      </c>
      <c r="X534" t="s">
        <v>964</v>
      </c>
      <c r="Y534" t="s">
        <v>36</v>
      </c>
      <c r="Z534" t="str">
        <f>"85085"</f>
        <v>85085</v>
      </c>
      <c r="AA534" t="str">
        <f>""</f>
        <v/>
      </c>
      <c r="AB534" t="s">
        <v>632</v>
      </c>
    </row>
    <row r="535" spans="1:28" x14ac:dyDescent="0.25">
      <c r="A535">
        <v>4244</v>
      </c>
      <c r="B535" t="str">
        <f t="shared" si="73"/>
        <v>070293000</v>
      </c>
      <c r="C535" t="s">
        <v>1910</v>
      </c>
      <c r="D535">
        <v>78912</v>
      </c>
      <c r="E535" t="str">
        <f>"070293105"</f>
        <v>070293105</v>
      </c>
      <c r="F535" t="s">
        <v>1926</v>
      </c>
      <c r="G535" t="s">
        <v>42</v>
      </c>
      <c r="H535" t="s">
        <v>1911</v>
      </c>
      <c r="I535" t="s">
        <v>1912</v>
      </c>
      <c r="J535" t="s">
        <v>1913</v>
      </c>
      <c r="K535" t="str">
        <f t="shared" si="74"/>
        <v>4805752437</v>
      </c>
      <c r="L535" t="str">
        <f>""</f>
        <v/>
      </c>
      <c r="M535" t="str">
        <f t="shared" si="76"/>
        <v>4805752454</v>
      </c>
      <c r="N535" t="str">
        <f>""</f>
        <v/>
      </c>
      <c r="O535" t="s">
        <v>1914</v>
      </c>
      <c r="P535" t="s">
        <v>1915</v>
      </c>
      <c r="R535" t="s">
        <v>1916</v>
      </c>
      <c r="S535" t="s">
        <v>36</v>
      </c>
      <c r="T535" t="str">
        <f t="shared" si="75"/>
        <v>85327</v>
      </c>
      <c r="U535" t="str">
        <f>""</f>
        <v/>
      </c>
      <c r="V535" t="s">
        <v>1927</v>
      </c>
      <c r="X535" t="s">
        <v>1916</v>
      </c>
      <c r="Y535" t="s">
        <v>36</v>
      </c>
      <c r="Z535" t="str">
        <f>"85331"</f>
        <v>85331</v>
      </c>
      <c r="AA535" t="str">
        <f>""</f>
        <v/>
      </c>
      <c r="AB535" t="s">
        <v>632</v>
      </c>
    </row>
    <row r="536" spans="1:28" x14ac:dyDescent="0.25">
      <c r="A536">
        <v>4244</v>
      </c>
      <c r="B536" t="str">
        <f t="shared" si="73"/>
        <v>070293000</v>
      </c>
      <c r="C536" t="s">
        <v>1910</v>
      </c>
      <c r="D536">
        <v>80056</v>
      </c>
      <c r="E536" t="str">
        <f>"070293107"</f>
        <v>070293107</v>
      </c>
      <c r="F536" t="s">
        <v>1928</v>
      </c>
      <c r="G536" t="s">
        <v>42</v>
      </c>
      <c r="H536" t="s">
        <v>1911</v>
      </c>
      <c r="I536" t="s">
        <v>1912</v>
      </c>
      <c r="J536" t="s">
        <v>1913</v>
      </c>
      <c r="K536" t="str">
        <f t="shared" si="74"/>
        <v>4805752437</v>
      </c>
      <c r="L536" t="str">
        <f>""</f>
        <v/>
      </c>
      <c r="M536" t="str">
        <f t="shared" si="76"/>
        <v>4805752454</v>
      </c>
      <c r="N536" t="str">
        <f>""</f>
        <v/>
      </c>
      <c r="O536" t="s">
        <v>1914</v>
      </c>
      <c r="P536" t="s">
        <v>1915</v>
      </c>
      <c r="R536" t="s">
        <v>1916</v>
      </c>
      <c r="S536" t="s">
        <v>36</v>
      </c>
      <c r="T536" t="str">
        <f t="shared" si="75"/>
        <v>85327</v>
      </c>
      <c r="U536" t="str">
        <f>""</f>
        <v/>
      </c>
      <c r="V536" t="s">
        <v>1929</v>
      </c>
      <c r="X536" t="s">
        <v>1916</v>
      </c>
      <c r="Y536" t="s">
        <v>36</v>
      </c>
      <c r="Z536" t="str">
        <f>"85331"</f>
        <v>85331</v>
      </c>
      <c r="AA536" t="str">
        <f>""</f>
        <v/>
      </c>
      <c r="AB536" t="s">
        <v>632</v>
      </c>
    </row>
    <row r="537" spans="1:28" x14ac:dyDescent="0.25">
      <c r="A537">
        <v>4244</v>
      </c>
      <c r="B537" t="str">
        <f t="shared" si="73"/>
        <v>070293000</v>
      </c>
      <c r="C537" t="s">
        <v>1910</v>
      </c>
      <c r="D537">
        <v>87477</v>
      </c>
      <c r="E537" t="str">
        <f>"070293108"</f>
        <v>070293108</v>
      </c>
      <c r="F537" t="s">
        <v>1930</v>
      </c>
      <c r="G537" t="s">
        <v>42</v>
      </c>
      <c r="H537" t="s">
        <v>1911</v>
      </c>
      <c r="I537" t="s">
        <v>1912</v>
      </c>
      <c r="J537" t="s">
        <v>32</v>
      </c>
      <c r="K537" t="str">
        <f t="shared" si="74"/>
        <v>4805752437</v>
      </c>
      <c r="L537" t="str">
        <f>""</f>
        <v/>
      </c>
      <c r="M537" t="str">
        <f t="shared" si="76"/>
        <v>4805752454</v>
      </c>
      <c r="N537" t="str">
        <f>""</f>
        <v/>
      </c>
      <c r="O537" t="s">
        <v>1914</v>
      </c>
      <c r="P537" t="s">
        <v>1915</v>
      </c>
      <c r="R537" t="s">
        <v>1916</v>
      </c>
      <c r="S537" t="s">
        <v>36</v>
      </c>
      <c r="T537" t="str">
        <f t="shared" si="75"/>
        <v>85327</v>
      </c>
      <c r="U537" t="str">
        <f>""</f>
        <v/>
      </c>
      <c r="V537" t="s">
        <v>1931</v>
      </c>
      <c r="X537" t="s">
        <v>964</v>
      </c>
      <c r="Y537" t="s">
        <v>36</v>
      </c>
      <c r="Z537" t="str">
        <f>"85262"</f>
        <v>85262</v>
      </c>
      <c r="AA537" t="str">
        <f>""</f>
        <v/>
      </c>
      <c r="AB537" t="s">
        <v>632</v>
      </c>
    </row>
    <row r="538" spans="1:28" x14ac:dyDescent="0.25">
      <c r="A538">
        <v>4245</v>
      </c>
      <c r="B538" t="str">
        <f t="shared" ref="B538:B547" si="77">"070295000"</f>
        <v>070295000</v>
      </c>
      <c r="C538" t="s">
        <v>1932</v>
      </c>
      <c r="D538">
        <v>0</v>
      </c>
      <c r="E538" t="str">
        <f>""</f>
        <v/>
      </c>
      <c r="G538" t="s">
        <v>29</v>
      </c>
      <c r="H538" t="s">
        <v>1933</v>
      </c>
      <c r="I538" t="s">
        <v>1934</v>
      </c>
      <c r="J538" t="s">
        <v>1935</v>
      </c>
      <c r="K538" t="str">
        <f>"4809875983"</f>
        <v>4809875983</v>
      </c>
      <c r="L538" t="str">
        <f>""</f>
        <v/>
      </c>
      <c r="M538" t="str">
        <f>""</f>
        <v/>
      </c>
      <c r="N538" t="str">
        <f>""</f>
        <v/>
      </c>
      <c r="O538" t="s">
        <v>1936</v>
      </c>
      <c r="P538" t="s">
        <v>1937</v>
      </c>
      <c r="R538" t="s">
        <v>1772</v>
      </c>
      <c r="S538" t="s">
        <v>36</v>
      </c>
      <c r="T538" t="str">
        <f t="shared" ref="T538:T547" si="78">"85142"</f>
        <v>85142</v>
      </c>
      <c r="U538" t="str">
        <f>""</f>
        <v/>
      </c>
      <c r="V538" t="s">
        <v>1937</v>
      </c>
      <c r="X538" t="s">
        <v>1772</v>
      </c>
      <c r="Y538" t="s">
        <v>36</v>
      </c>
      <c r="Z538" t="str">
        <f t="shared" ref="Z538:Z545" si="79">"85142"</f>
        <v>85142</v>
      </c>
      <c r="AA538" t="str">
        <f>""</f>
        <v/>
      </c>
      <c r="AB538" t="s">
        <v>282</v>
      </c>
    </row>
    <row r="539" spans="1:28" x14ac:dyDescent="0.25">
      <c r="A539">
        <v>4245</v>
      </c>
      <c r="B539" t="str">
        <f t="shared" si="77"/>
        <v>070295000</v>
      </c>
      <c r="C539" t="s">
        <v>1932</v>
      </c>
      <c r="D539">
        <v>5138</v>
      </c>
      <c r="E539" t="str">
        <f>"070295101"</f>
        <v>070295101</v>
      </c>
      <c r="F539" t="s">
        <v>1938</v>
      </c>
      <c r="G539" t="s">
        <v>42</v>
      </c>
      <c r="H539" t="s">
        <v>1939</v>
      </c>
      <c r="I539" t="s">
        <v>1256</v>
      </c>
      <c r="J539" t="s">
        <v>1940</v>
      </c>
      <c r="K539" t="str">
        <f>"4809875924"</f>
        <v>4809875924</v>
      </c>
      <c r="L539" t="str">
        <f>""</f>
        <v/>
      </c>
      <c r="M539" t="str">
        <f>"4809870612"</f>
        <v>4809870612</v>
      </c>
      <c r="N539" t="str">
        <f>""</f>
        <v/>
      </c>
      <c r="O539" t="s">
        <v>1941</v>
      </c>
      <c r="P539" t="s">
        <v>1937</v>
      </c>
      <c r="R539" t="s">
        <v>1772</v>
      </c>
      <c r="S539" t="s">
        <v>36</v>
      </c>
      <c r="T539" t="str">
        <f t="shared" si="78"/>
        <v>85142</v>
      </c>
      <c r="U539" t="str">
        <f>""</f>
        <v/>
      </c>
      <c r="V539" t="s">
        <v>1942</v>
      </c>
      <c r="X539" t="s">
        <v>1772</v>
      </c>
      <c r="Y539" t="s">
        <v>36</v>
      </c>
      <c r="Z539" t="str">
        <f t="shared" si="79"/>
        <v>85142</v>
      </c>
      <c r="AA539" t="str">
        <f>""</f>
        <v/>
      </c>
      <c r="AB539" t="s">
        <v>282</v>
      </c>
    </row>
    <row r="540" spans="1:28" x14ac:dyDescent="0.25">
      <c r="A540">
        <v>4245</v>
      </c>
      <c r="B540" t="str">
        <f t="shared" si="77"/>
        <v>070295000</v>
      </c>
      <c r="C540" t="s">
        <v>1932</v>
      </c>
      <c r="D540">
        <v>5139</v>
      </c>
      <c r="E540" t="str">
        <f>"070295102"</f>
        <v>070295102</v>
      </c>
      <c r="F540" t="s">
        <v>1943</v>
      </c>
      <c r="G540" t="s">
        <v>42</v>
      </c>
      <c r="H540" t="s">
        <v>1944</v>
      </c>
      <c r="I540" t="s">
        <v>1945</v>
      </c>
      <c r="J540" t="s">
        <v>315</v>
      </c>
      <c r="K540" t="str">
        <f>"4809875983"</f>
        <v>4809875983</v>
      </c>
      <c r="L540" t="str">
        <f>""</f>
        <v/>
      </c>
      <c r="M540" t="str">
        <f>"4809875964"</f>
        <v>4809875964</v>
      </c>
      <c r="N540" t="str">
        <f>""</f>
        <v/>
      </c>
      <c r="O540" t="s">
        <v>1946</v>
      </c>
      <c r="P540" t="s">
        <v>1937</v>
      </c>
      <c r="R540" t="s">
        <v>1772</v>
      </c>
      <c r="S540" t="s">
        <v>36</v>
      </c>
      <c r="T540" t="str">
        <f t="shared" si="78"/>
        <v>85142</v>
      </c>
      <c r="U540" t="str">
        <f>""</f>
        <v/>
      </c>
      <c r="V540" t="s">
        <v>1947</v>
      </c>
      <c r="X540" t="s">
        <v>1772</v>
      </c>
      <c r="Y540" t="s">
        <v>36</v>
      </c>
      <c r="Z540" t="str">
        <f t="shared" si="79"/>
        <v>85142</v>
      </c>
      <c r="AA540" t="str">
        <f>""</f>
        <v/>
      </c>
      <c r="AB540" t="s">
        <v>282</v>
      </c>
    </row>
    <row r="541" spans="1:28" x14ac:dyDescent="0.25">
      <c r="A541">
        <v>4245</v>
      </c>
      <c r="B541" t="str">
        <f t="shared" si="77"/>
        <v>070295000</v>
      </c>
      <c r="C541" t="s">
        <v>1932</v>
      </c>
      <c r="D541">
        <v>5140</v>
      </c>
      <c r="E541" t="str">
        <f>"070295106"</f>
        <v>070295106</v>
      </c>
      <c r="F541" t="s">
        <v>1948</v>
      </c>
      <c r="G541" t="s">
        <v>42</v>
      </c>
      <c r="H541" t="s">
        <v>1949</v>
      </c>
      <c r="I541" t="s">
        <v>1950</v>
      </c>
      <c r="J541" t="s">
        <v>1940</v>
      </c>
      <c r="K541" t="str">
        <f>"4809875955"</f>
        <v>4809875955</v>
      </c>
      <c r="L541" t="str">
        <f>""</f>
        <v/>
      </c>
      <c r="M541" t="str">
        <f>"4809879714"</f>
        <v>4809879714</v>
      </c>
      <c r="N541" t="str">
        <f>""</f>
        <v/>
      </c>
      <c r="O541" t="s">
        <v>1951</v>
      </c>
      <c r="P541" t="s">
        <v>1937</v>
      </c>
      <c r="R541" t="s">
        <v>1772</v>
      </c>
      <c r="S541" t="s">
        <v>36</v>
      </c>
      <c r="T541" t="str">
        <f t="shared" si="78"/>
        <v>85142</v>
      </c>
      <c r="U541" t="str">
        <f>""</f>
        <v/>
      </c>
      <c r="V541" t="s">
        <v>1952</v>
      </c>
      <c r="X541" t="s">
        <v>1772</v>
      </c>
      <c r="Y541" t="s">
        <v>36</v>
      </c>
      <c r="Z541" t="str">
        <f t="shared" si="79"/>
        <v>85142</v>
      </c>
      <c r="AA541" t="str">
        <f>""</f>
        <v/>
      </c>
      <c r="AB541" t="s">
        <v>282</v>
      </c>
    </row>
    <row r="542" spans="1:28" x14ac:dyDescent="0.25">
      <c r="A542">
        <v>4245</v>
      </c>
      <c r="B542" t="str">
        <f t="shared" si="77"/>
        <v>070295000</v>
      </c>
      <c r="C542" t="s">
        <v>1932</v>
      </c>
      <c r="D542">
        <v>5141</v>
      </c>
      <c r="E542" t="str">
        <f>"070295201"</f>
        <v>070295201</v>
      </c>
      <c r="F542" t="s">
        <v>1953</v>
      </c>
      <c r="G542" t="s">
        <v>42</v>
      </c>
      <c r="H542" t="s">
        <v>1954</v>
      </c>
      <c r="I542" t="s">
        <v>1955</v>
      </c>
      <c r="J542" t="s">
        <v>1940</v>
      </c>
      <c r="K542" t="str">
        <f>"4809875970"</f>
        <v>4809875970</v>
      </c>
      <c r="L542" t="str">
        <f>""</f>
        <v/>
      </c>
      <c r="M542" t="str">
        <f>""</f>
        <v/>
      </c>
      <c r="N542" t="str">
        <f>""</f>
        <v/>
      </c>
      <c r="O542" t="s">
        <v>1956</v>
      </c>
      <c r="P542" t="s">
        <v>1937</v>
      </c>
      <c r="R542" t="s">
        <v>1772</v>
      </c>
      <c r="S542" t="s">
        <v>36</v>
      </c>
      <c r="T542" t="str">
        <f t="shared" si="78"/>
        <v>85142</v>
      </c>
      <c r="U542" t="str">
        <f>""</f>
        <v/>
      </c>
      <c r="V542" t="s">
        <v>1957</v>
      </c>
      <c r="X542" t="s">
        <v>1772</v>
      </c>
      <c r="Y542" t="s">
        <v>36</v>
      </c>
      <c r="Z542" t="str">
        <f t="shared" si="79"/>
        <v>85142</v>
      </c>
      <c r="AA542" t="str">
        <f>""</f>
        <v/>
      </c>
      <c r="AB542" t="s">
        <v>282</v>
      </c>
    </row>
    <row r="543" spans="1:28" x14ac:dyDescent="0.25">
      <c r="A543">
        <v>4245</v>
      </c>
      <c r="B543" t="str">
        <f t="shared" si="77"/>
        <v>070295000</v>
      </c>
      <c r="C543" t="s">
        <v>1932</v>
      </c>
      <c r="D543">
        <v>80439</v>
      </c>
      <c r="E543" t="str">
        <f>"070295103"</f>
        <v>070295103</v>
      </c>
      <c r="F543" t="s">
        <v>1958</v>
      </c>
      <c r="G543" t="s">
        <v>42</v>
      </c>
      <c r="H543" t="s">
        <v>1959</v>
      </c>
      <c r="I543" t="s">
        <v>1960</v>
      </c>
      <c r="J543" t="s">
        <v>1961</v>
      </c>
      <c r="K543" t="str">
        <f>"4809877409"</f>
        <v>4809877409</v>
      </c>
      <c r="L543" t="str">
        <f>""</f>
        <v/>
      </c>
      <c r="M543" t="str">
        <f>""</f>
        <v/>
      </c>
      <c r="N543" t="str">
        <f>""</f>
        <v/>
      </c>
      <c r="O543" t="s">
        <v>1962</v>
      </c>
      <c r="P543" t="s">
        <v>1937</v>
      </c>
      <c r="R543" t="s">
        <v>1772</v>
      </c>
      <c r="S543" t="s">
        <v>36</v>
      </c>
      <c r="T543" t="str">
        <f t="shared" si="78"/>
        <v>85142</v>
      </c>
      <c r="U543" t="str">
        <f>""</f>
        <v/>
      </c>
      <c r="V543" t="s">
        <v>1963</v>
      </c>
      <c r="X543" t="s">
        <v>1772</v>
      </c>
      <c r="Y543" t="s">
        <v>36</v>
      </c>
      <c r="Z543" t="str">
        <f t="shared" si="79"/>
        <v>85142</v>
      </c>
      <c r="AA543" t="str">
        <f>""</f>
        <v/>
      </c>
      <c r="AB543" t="s">
        <v>282</v>
      </c>
    </row>
    <row r="544" spans="1:28" x14ac:dyDescent="0.25">
      <c r="A544">
        <v>4245</v>
      </c>
      <c r="B544" t="str">
        <f t="shared" si="77"/>
        <v>070295000</v>
      </c>
      <c r="C544" t="s">
        <v>1932</v>
      </c>
      <c r="D544">
        <v>87478</v>
      </c>
      <c r="E544" t="str">
        <f>"070295104"</f>
        <v>070295104</v>
      </c>
      <c r="F544" t="s">
        <v>1964</v>
      </c>
      <c r="G544" t="s">
        <v>42</v>
      </c>
      <c r="H544" t="s">
        <v>1965</v>
      </c>
      <c r="I544" t="s">
        <v>1966</v>
      </c>
      <c r="J544" t="s">
        <v>1940</v>
      </c>
      <c r="K544" t="str">
        <f>"4809877426"</f>
        <v>4809877426</v>
      </c>
      <c r="L544" t="str">
        <f>""</f>
        <v/>
      </c>
      <c r="M544" t="str">
        <f>"4809877439"</f>
        <v>4809877439</v>
      </c>
      <c r="N544" t="str">
        <f>""</f>
        <v/>
      </c>
      <c r="O544" t="s">
        <v>1967</v>
      </c>
      <c r="P544" t="s">
        <v>1937</v>
      </c>
      <c r="R544" t="s">
        <v>1772</v>
      </c>
      <c r="S544" t="s">
        <v>36</v>
      </c>
      <c r="T544" t="str">
        <f t="shared" si="78"/>
        <v>85142</v>
      </c>
      <c r="U544" t="str">
        <f>""</f>
        <v/>
      </c>
      <c r="V544" t="s">
        <v>1968</v>
      </c>
      <c r="X544" t="s">
        <v>1772</v>
      </c>
      <c r="Y544" t="s">
        <v>36</v>
      </c>
      <c r="Z544" t="str">
        <f t="shared" si="79"/>
        <v>85142</v>
      </c>
      <c r="AA544" t="str">
        <f>""</f>
        <v/>
      </c>
      <c r="AB544" t="s">
        <v>282</v>
      </c>
    </row>
    <row r="545" spans="1:28" x14ac:dyDescent="0.25">
      <c r="A545">
        <v>4245</v>
      </c>
      <c r="B545" t="str">
        <f t="shared" si="77"/>
        <v>070295000</v>
      </c>
      <c r="C545" t="s">
        <v>1932</v>
      </c>
      <c r="D545">
        <v>89912</v>
      </c>
      <c r="E545" t="str">
        <f>"070295121"</f>
        <v>070295121</v>
      </c>
      <c r="F545" t="s">
        <v>1969</v>
      </c>
      <c r="G545" t="s">
        <v>42</v>
      </c>
      <c r="H545" t="s">
        <v>1970</v>
      </c>
      <c r="I545" t="s">
        <v>1971</v>
      </c>
      <c r="J545" t="s">
        <v>1940</v>
      </c>
      <c r="K545" t="str">
        <f>"4804746752"</f>
        <v>4804746752</v>
      </c>
      <c r="L545" t="str">
        <f>""</f>
        <v/>
      </c>
      <c r="M545" t="str">
        <f>""</f>
        <v/>
      </c>
      <c r="N545" t="str">
        <f>""</f>
        <v/>
      </c>
      <c r="O545" t="s">
        <v>1972</v>
      </c>
      <c r="P545" t="s">
        <v>1937</v>
      </c>
      <c r="R545" t="s">
        <v>1772</v>
      </c>
      <c r="S545" t="s">
        <v>36</v>
      </c>
      <c r="T545" t="str">
        <f t="shared" si="78"/>
        <v>85142</v>
      </c>
      <c r="U545" t="str">
        <f>""</f>
        <v/>
      </c>
      <c r="V545" t="s">
        <v>1973</v>
      </c>
      <c r="X545" t="s">
        <v>1772</v>
      </c>
      <c r="Y545" t="s">
        <v>36</v>
      </c>
      <c r="Z545" t="str">
        <f t="shared" si="79"/>
        <v>85142</v>
      </c>
      <c r="AA545" t="str">
        <f>""</f>
        <v/>
      </c>
      <c r="AB545" t="s">
        <v>282</v>
      </c>
    </row>
    <row r="546" spans="1:28" x14ac:dyDescent="0.25">
      <c r="A546">
        <v>4245</v>
      </c>
      <c r="B546" t="str">
        <f t="shared" si="77"/>
        <v>070295000</v>
      </c>
      <c r="C546" t="s">
        <v>1932</v>
      </c>
      <c r="D546">
        <v>92911</v>
      </c>
      <c r="E546" t="str">
        <f>"070295105"</f>
        <v>070295105</v>
      </c>
      <c r="F546" t="s">
        <v>1974</v>
      </c>
      <c r="G546" t="s">
        <v>42</v>
      </c>
      <c r="H546" t="s">
        <v>1318</v>
      </c>
      <c r="I546" t="s">
        <v>1975</v>
      </c>
      <c r="J546" t="s">
        <v>1976</v>
      </c>
      <c r="K546" t="str">
        <f>"4809874830"</f>
        <v>4809874830</v>
      </c>
      <c r="L546" t="str">
        <f>""</f>
        <v/>
      </c>
      <c r="M546" t="str">
        <f>""</f>
        <v/>
      </c>
      <c r="N546" t="str">
        <f>""</f>
        <v/>
      </c>
      <c r="O546" t="s">
        <v>1977</v>
      </c>
      <c r="P546" t="s">
        <v>1937</v>
      </c>
      <c r="R546" t="s">
        <v>1772</v>
      </c>
      <c r="S546" t="s">
        <v>36</v>
      </c>
      <c r="T546" t="str">
        <f t="shared" si="78"/>
        <v>85142</v>
      </c>
      <c r="U546" t="str">
        <f>""</f>
        <v/>
      </c>
      <c r="V546" t="s">
        <v>1978</v>
      </c>
      <c r="X546" t="s">
        <v>979</v>
      </c>
      <c r="Y546" t="s">
        <v>36</v>
      </c>
      <c r="Z546" t="str">
        <f>"85212"</f>
        <v>85212</v>
      </c>
      <c r="AA546" t="str">
        <f>""</f>
        <v/>
      </c>
      <c r="AB546" t="s">
        <v>282</v>
      </c>
    </row>
    <row r="547" spans="1:28" x14ac:dyDescent="0.25">
      <c r="A547">
        <v>4245</v>
      </c>
      <c r="B547" t="str">
        <f t="shared" si="77"/>
        <v>070295000</v>
      </c>
      <c r="C547" t="s">
        <v>1932</v>
      </c>
      <c r="D547">
        <v>390026</v>
      </c>
      <c r="E547" t="str">
        <f>"070295107"</f>
        <v>070295107</v>
      </c>
      <c r="F547" t="s">
        <v>1979</v>
      </c>
      <c r="G547" t="s">
        <v>42</v>
      </c>
      <c r="H547" t="s">
        <v>752</v>
      </c>
      <c r="I547" t="s">
        <v>1980</v>
      </c>
      <c r="J547" t="s">
        <v>315</v>
      </c>
      <c r="K547" t="str">
        <f>"4809876900"</f>
        <v>4809876900</v>
      </c>
      <c r="L547" t="str">
        <f>""</f>
        <v/>
      </c>
      <c r="M547" t="str">
        <f>""</f>
        <v/>
      </c>
      <c r="N547" t="str">
        <f>""</f>
        <v/>
      </c>
      <c r="O547" t="s">
        <v>1981</v>
      </c>
      <c r="P547" t="s">
        <v>1982</v>
      </c>
      <c r="R547" t="s">
        <v>1772</v>
      </c>
      <c r="S547" t="s">
        <v>36</v>
      </c>
      <c r="T547" t="str">
        <f t="shared" si="78"/>
        <v>85142</v>
      </c>
      <c r="U547" t="str">
        <f>""</f>
        <v/>
      </c>
      <c r="V547" t="s">
        <v>1982</v>
      </c>
      <c r="X547" t="s">
        <v>1772</v>
      </c>
      <c r="Y547" t="s">
        <v>36</v>
      </c>
      <c r="Z547" t="str">
        <f>"85142"</f>
        <v>85142</v>
      </c>
      <c r="AA547" t="str">
        <f>""</f>
        <v/>
      </c>
      <c r="AB547" t="s">
        <v>282</v>
      </c>
    </row>
    <row r="548" spans="1:28" x14ac:dyDescent="0.25">
      <c r="A548">
        <v>4246</v>
      </c>
      <c r="B548" t="str">
        <f t="shared" ref="B548:B586" si="80">"070297000"</f>
        <v>070297000</v>
      </c>
      <c r="C548" t="s">
        <v>1983</v>
      </c>
      <c r="D548">
        <v>0</v>
      </c>
      <c r="E548" t="str">
        <f>""</f>
        <v/>
      </c>
      <c r="G548" t="s">
        <v>29</v>
      </c>
      <c r="H548" t="s">
        <v>1984</v>
      </c>
      <c r="I548" t="s">
        <v>1985</v>
      </c>
      <c r="J548" t="s">
        <v>202</v>
      </c>
      <c r="K548" t="str">
        <f>"6234555160"</f>
        <v>6234555160</v>
      </c>
      <c r="L548" t="str">
        <f>""</f>
        <v/>
      </c>
      <c r="M548" t="str">
        <f>"6234455167"</f>
        <v>6234455167</v>
      </c>
      <c r="N548" t="str">
        <f>""</f>
        <v/>
      </c>
      <c r="O548" t="s">
        <v>1986</v>
      </c>
      <c r="P548" t="s">
        <v>1987</v>
      </c>
      <c r="Q548" t="s">
        <v>1988</v>
      </c>
      <c r="R548" t="s">
        <v>964</v>
      </c>
      <c r="S548" t="s">
        <v>36</v>
      </c>
      <c r="T548" t="str">
        <f>"85027"</f>
        <v>85027</v>
      </c>
      <c r="U548" t="str">
        <f>""</f>
        <v/>
      </c>
      <c r="V548" t="s">
        <v>1989</v>
      </c>
      <c r="X548" t="s">
        <v>964</v>
      </c>
      <c r="Y548" t="s">
        <v>36</v>
      </c>
      <c r="Z548" t="str">
        <f>"85027"</f>
        <v>85027</v>
      </c>
      <c r="AA548" t="str">
        <f>""</f>
        <v/>
      </c>
      <c r="AB548" t="s">
        <v>1990</v>
      </c>
    </row>
    <row r="549" spans="1:28" x14ac:dyDescent="0.25">
      <c r="A549">
        <v>4246</v>
      </c>
      <c r="B549" t="str">
        <f t="shared" si="80"/>
        <v>070297000</v>
      </c>
      <c r="C549" t="s">
        <v>1983</v>
      </c>
      <c r="D549">
        <v>5142</v>
      </c>
      <c r="E549" t="str">
        <f>"070297111"</f>
        <v>070297111</v>
      </c>
      <c r="F549" t="s">
        <v>1991</v>
      </c>
      <c r="G549" t="s">
        <v>42</v>
      </c>
      <c r="H549" t="s">
        <v>1639</v>
      </c>
      <c r="I549" t="s">
        <v>1992</v>
      </c>
      <c r="J549" t="s">
        <v>315</v>
      </c>
      <c r="K549" t="str">
        <f>"6234453314"</f>
        <v>6234453314</v>
      </c>
      <c r="L549" t="str">
        <f>""</f>
        <v/>
      </c>
      <c r="M549" t="str">
        <f>""</f>
        <v/>
      </c>
      <c r="N549" t="str">
        <f>""</f>
        <v/>
      </c>
      <c r="O549" t="s">
        <v>1993</v>
      </c>
      <c r="P549" t="s">
        <v>1994</v>
      </c>
      <c r="R549" t="s">
        <v>964</v>
      </c>
      <c r="S549" t="s">
        <v>36</v>
      </c>
      <c r="T549" t="str">
        <f>"85027"</f>
        <v>85027</v>
      </c>
      <c r="U549" t="str">
        <f>""</f>
        <v/>
      </c>
      <c r="V549" t="s">
        <v>1994</v>
      </c>
      <c r="X549" t="s">
        <v>964</v>
      </c>
      <c r="Y549" t="s">
        <v>36</v>
      </c>
      <c r="Z549" t="str">
        <f>"85027"</f>
        <v>85027</v>
      </c>
      <c r="AA549" t="str">
        <f>""</f>
        <v/>
      </c>
      <c r="AB549" t="s">
        <v>1990</v>
      </c>
    </row>
    <row r="550" spans="1:28" x14ac:dyDescent="0.25">
      <c r="A550">
        <v>4246</v>
      </c>
      <c r="B550" t="str">
        <f t="shared" si="80"/>
        <v>070297000</v>
      </c>
      <c r="C550" t="s">
        <v>1983</v>
      </c>
      <c r="D550">
        <v>5143</v>
      </c>
      <c r="E550" t="str">
        <f>"070297112"</f>
        <v>070297112</v>
      </c>
      <c r="F550" t="s">
        <v>392</v>
      </c>
      <c r="G550" t="s">
        <v>42</v>
      </c>
      <c r="H550" t="s">
        <v>1995</v>
      </c>
      <c r="I550" t="s">
        <v>1996</v>
      </c>
      <c r="J550" t="s">
        <v>315</v>
      </c>
      <c r="K550" t="str">
        <f>"6024676314"</f>
        <v>6024676314</v>
      </c>
      <c r="L550" t="str">
        <f>""</f>
        <v/>
      </c>
      <c r="M550" t="str">
        <f>""</f>
        <v/>
      </c>
      <c r="N550" t="str">
        <f>""</f>
        <v/>
      </c>
      <c r="O550" t="s">
        <v>1997</v>
      </c>
      <c r="P550" t="s">
        <v>1998</v>
      </c>
      <c r="R550" t="s">
        <v>964</v>
      </c>
      <c r="S550" t="s">
        <v>36</v>
      </c>
      <c r="T550" t="str">
        <f>"85023"</f>
        <v>85023</v>
      </c>
      <c r="U550" t="str">
        <f>""</f>
        <v/>
      </c>
      <c r="V550" t="s">
        <v>1998</v>
      </c>
      <c r="X550" t="s">
        <v>964</v>
      </c>
      <c r="Y550" t="s">
        <v>36</v>
      </c>
      <c r="Z550" t="str">
        <f>"85023"</f>
        <v>85023</v>
      </c>
      <c r="AA550" t="str">
        <f>""</f>
        <v/>
      </c>
      <c r="AB550" t="s">
        <v>1990</v>
      </c>
    </row>
    <row r="551" spans="1:28" x14ac:dyDescent="0.25">
      <c r="A551">
        <v>4246</v>
      </c>
      <c r="B551" t="str">
        <f t="shared" si="80"/>
        <v>070297000</v>
      </c>
      <c r="C551" t="s">
        <v>1983</v>
      </c>
      <c r="D551">
        <v>5144</v>
      </c>
      <c r="E551" t="str">
        <f>"070297113"</f>
        <v>070297113</v>
      </c>
      <c r="F551" t="s">
        <v>1999</v>
      </c>
      <c r="G551" t="s">
        <v>42</v>
      </c>
      <c r="H551" t="s">
        <v>2000</v>
      </c>
      <c r="I551" t="s">
        <v>2001</v>
      </c>
      <c r="J551" t="s">
        <v>315</v>
      </c>
      <c r="K551" t="str">
        <f>"6234454987"</f>
        <v>6234454987</v>
      </c>
      <c r="L551" t="str">
        <f>""</f>
        <v/>
      </c>
      <c r="M551" t="str">
        <f>""</f>
        <v/>
      </c>
      <c r="N551" t="str">
        <f>""</f>
        <v/>
      </c>
      <c r="O551" t="s">
        <v>2002</v>
      </c>
      <c r="P551" t="s">
        <v>2003</v>
      </c>
      <c r="R551" t="s">
        <v>2004</v>
      </c>
      <c r="S551" t="s">
        <v>36</v>
      </c>
      <c r="T551" t="str">
        <f>"85087"</f>
        <v>85087</v>
      </c>
      <c r="U551" t="str">
        <f>""</f>
        <v/>
      </c>
      <c r="V551" t="s">
        <v>2003</v>
      </c>
      <c r="X551" t="s">
        <v>2004</v>
      </c>
      <c r="Y551" t="s">
        <v>36</v>
      </c>
      <c r="Z551" t="str">
        <f>"85087"</f>
        <v>85087</v>
      </c>
      <c r="AA551" t="str">
        <f>""</f>
        <v/>
      </c>
      <c r="AB551" t="s">
        <v>1990</v>
      </c>
    </row>
    <row r="552" spans="1:28" x14ac:dyDescent="0.25">
      <c r="A552">
        <v>4246</v>
      </c>
      <c r="B552" t="str">
        <f t="shared" si="80"/>
        <v>070297000</v>
      </c>
      <c r="C552" t="s">
        <v>1983</v>
      </c>
      <c r="D552">
        <v>5145</v>
      </c>
      <c r="E552" t="str">
        <f>"070297114"</f>
        <v>070297114</v>
      </c>
      <c r="F552" t="s">
        <v>2005</v>
      </c>
      <c r="G552" t="s">
        <v>42</v>
      </c>
      <c r="H552" t="s">
        <v>2006</v>
      </c>
      <c r="I552" t="s">
        <v>2007</v>
      </c>
      <c r="J552" t="s">
        <v>315</v>
      </c>
      <c r="K552" t="str">
        <f>"6234454114"</f>
        <v>6234454114</v>
      </c>
      <c r="L552" t="str">
        <f>""</f>
        <v/>
      </c>
      <c r="M552" t="str">
        <f>""</f>
        <v/>
      </c>
      <c r="N552" t="str">
        <f>""</f>
        <v/>
      </c>
      <c r="O552" t="s">
        <v>2008</v>
      </c>
      <c r="P552" t="s">
        <v>2009</v>
      </c>
      <c r="R552" t="s">
        <v>1173</v>
      </c>
      <c r="S552" t="s">
        <v>36</v>
      </c>
      <c r="T552" t="str">
        <f>"85308"</f>
        <v>85308</v>
      </c>
      <c r="U552" t="str">
        <f>""</f>
        <v/>
      </c>
      <c r="V552" t="s">
        <v>2009</v>
      </c>
      <c r="X552" t="s">
        <v>1173</v>
      </c>
      <c r="Y552" t="s">
        <v>36</v>
      </c>
      <c r="Z552" t="str">
        <f>"85308"</f>
        <v>85308</v>
      </c>
      <c r="AA552" t="str">
        <f>""</f>
        <v/>
      </c>
      <c r="AB552" t="s">
        <v>1990</v>
      </c>
    </row>
    <row r="553" spans="1:28" x14ac:dyDescent="0.25">
      <c r="A553">
        <v>4246</v>
      </c>
      <c r="B553" t="str">
        <f t="shared" si="80"/>
        <v>070297000</v>
      </c>
      <c r="C553" t="s">
        <v>1983</v>
      </c>
      <c r="D553">
        <v>5146</v>
      </c>
      <c r="E553" t="str">
        <f>"070297115"</f>
        <v>070297115</v>
      </c>
      <c r="F553" t="s">
        <v>2010</v>
      </c>
      <c r="G553" t="s">
        <v>42</v>
      </c>
      <c r="H553" t="s">
        <v>1589</v>
      </c>
      <c r="I553" t="s">
        <v>2011</v>
      </c>
      <c r="J553" t="s">
        <v>315</v>
      </c>
      <c r="K553" t="str">
        <f>"6024676114"</f>
        <v>6024676114</v>
      </c>
      <c r="L553" t="str">
        <f>""</f>
        <v/>
      </c>
      <c r="M553" t="str">
        <f>""</f>
        <v/>
      </c>
      <c r="N553" t="str">
        <f>""</f>
        <v/>
      </c>
      <c r="O553" t="s">
        <v>2012</v>
      </c>
      <c r="P553" t="s">
        <v>2013</v>
      </c>
      <c r="R553" t="s">
        <v>964</v>
      </c>
      <c r="S553" t="s">
        <v>36</v>
      </c>
      <c r="T553" t="str">
        <f>"85023"</f>
        <v>85023</v>
      </c>
      <c r="U553" t="str">
        <f>""</f>
        <v/>
      </c>
      <c r="V553" t="s">
        <v>2013</v>
      </c>
      <c r="X553" t="s">
        <v>964</v>
      </c>
      <c r="Y553" t="s">
        <v>36</v>
      </c>
      <c r="Z553" t="str">
        <f>"85023"</f>
        <v>85023</v>
      </c>
      <c r="AA553" t="str">
        <f>""</f>
        <v/>
      </c>
      <c r="AB553" t="s">
        <v>1990</v>
      </c>
    </row>
    <row r="554" spans="1:28" x14ac:dyDescent="0.25">
      <c r="A554">
        <v>4246</v>
      </c>
      <c r="B554" t="str">
        <f t="shared" si="80"/>
        <v>070297000</v>
      </c>
      <c r="C554" t="s">
        <v>1983</v>
      </c>
      <c r="D554">
        <v>5147</v>
      </c>
      <c r="E554" t="str">
        <f>"070297117"</f>
        <v>070297117</v>
      </c>
      <c r="F554" t="s">
        <v>2014</v>
      </c>
      <c r="G554" t="s">
        <v>42</v>
      </c>
      <c r="H554" t="s">
        <v>2015</v>
      </c>
      <c r="I554" t="s">
        <v>2016</v>
      </c>
      <c r="J554" t="s">
        <v>315</v>
      </c>
      <c r="K554" t="str">
        <f>"6024675914"</f>
        <v>6024675914</v>
      </c>
      <c r="L554" t="str">
        <f>""</f>
        <v/>
      </c>
      <c r="M554" t="str">
        <f>""</f>
        <v/>
      </c>
      <c r="N554" t="str">
        <f>""</f>
        <v/>
      </c>
      <c r="O554" t="s">
        <v>2017</v>
      </c>
      <c r="P554" t="s">
        <v>2018</v>
      </c>
      <c r="R554" t="s">
        <v>964</v>
      </c>
      <c r="S554" t="s">
        <v>36</v>
      </c>
      <c r="T554" t="str">
        <f>"85053"</f>
        <v>85053</v>
      </c>
      <c r="U554" t="str">
        <f>""</f>
        <v/>
      </c>
      <c r="V554" t="s">
        <v>2018</v>
      </c>
      <c r="X554" t="s">
        <v>964</v>
      </c>
      <c r="Y554" t="s">
        <v>36</v>
      </c>
      <c r="Z554" t="str">
        <f>"85053"</f>
        <v>85053</v>
      </c>
      <c r="AA554" t="str">
        <f>""</f>
        <v/>
      </c>
      <c r="AB554" t="s">
        <v>1990</v>
      </c>
    </row>
    <row r="555" spans="1:28" x14ac:dyDescent="0.25">
      <c r="A555">
        <v>4246</v>
      </c>
      <c r="B555" t="str">
        <f t="shared" si="80"/>
        <v>070297000</v>
      </c>
      <c r="C555" t="s">
        <v>1983</v>
      </c>
      <c r="D555">
        <v>5149</v>
      </c>
      <c r="E555" t="str">
        <f>"070297120"</f>
        <v>070297120</v>
      </c>
      <c r="F555" t="s">
        <v>2019</v>
      </c>
      <c r="G555" t="s">
        <v>42</v>
      </c>
      <c r="H555" t="s">
        <v>2020</v>
      </c>
      <c r="I555" t="s">
        <v>2021</v>
      </c>
      <c r="J555" t="s">
        <v>315</v>
      </c>
      <c r="K555" t="str">
        <f>"6024675314"</f>
        <v>6024675314</v>
      </c>
      <c r="L555" t="str">
        <f>""</f>
        <v/>
      </c>
      <c r="M555" t="str">
        <f>""</f>
        <v/>
      </c>
      <c r="N555" t="str">
        <f>""</f>
        <v/>
      </c>
      <c r="O555" t="s">
        <v>2022</v>
      </c>
      <c r="P555" t="s">
        <v>2023</v>
      </c>
      <c r="R555" t="s">
        <v>1173</v>
      </c>
      <c r="S555" t="s">
        <v>36</v>
      </c>
      <c r="T555" t="str">
        <f t="shared" ref="T555:T560" si="81">"85308"</f>
        <v>85308</v>
      </c>
      <c r="U555" t="str">
        <f>""</f>
        <v/>
      </c>
      <c r="V555" t="s">
        <v>2023</v>
      </c>
      <c r="X555" t="s">
        <v>1173</v>
      </c>
      <c r="Y555" t="s">
        <v>36</v>
      </c>
      <c r="Z555" t="str">
        <f t="shared" ref="Z555:Z560" si="82">"85308"</f>
        <v>85308</v>
      </c>
      <c r="AA555" t="str">
        <f>""</f>
        <v/>
      </c>
      <c r="AB555" t="s">
        <v>1990</v>
      </c>
    </row>
    <row r="556" spans="1:28" x14ac:dyDescent="0.25">
      <c r="A556">
        <v>4246</v>
      </c>
      <c r="B556" t="str">
        <f t="shared" si="80"/>
        <v>070297000</v>
      </c>
      <c r="C556" t="s">
        <v>1983</v>
      </c>
      <c r="D556">
        <v>5150</v>
      </c>
      <c r="E556" t="str">
        <f>"070297121"</f>
        <v>070297121</v>
      </c>
      <c r="F556" t="s">
        <v>2024</v>
      </c>
      <c r="G556" t="s">
        <v>42</v>
      </c>
      <c r="H556" t="s">
        <v>2025</v>
      </c>
      <c r="I556" t="s">
        <v>2026</v>
      </c>
      <c r="J556" t="s">
        <v>315</v>
      </c>
      <c r="K556" t="str">
        <f>"6024676514"</f>
        <v>6024676514</v>
      </c>
      <c r="L556" t="str">
        <f>""</f>
        <v/>
      </c>
      <c r="M556" t="str">
        <f>""</f>
        <v/>
      </c>
      <c r="N556" t="str">
        <f>""</f>
        <v/>
      </c>
      <c r="O556" t="s">
        <v>2027</v>
      </c>
      <c r="P556" t="s">
        <v>2028</v>
      </c>
      <c r="R556" t="s">
        <v>1173</v>
      </c>
      <c r="S556" t="s">
        <v>36</v>
      </c>
      <c r="T556" t="str">
        <f t="shared" si="81"/>
        <v>85308</v>
      </c>
      <c r="U556" t="str">
        <f>""</f>
        <v/>
      </c>
      <c r="V556" t="s">
        <v>2028</v>
      </c>
      <c r="X556" t="s">
        <v>1173</v>
      </c>
      <c r="Y556" t="s">
        <v>36</v>
      </c>
      <c r="Z556" t="str">
        <f t="shared" si="82"/>
        <v>85308</v>
      </c>
      <c r="AA556" t="str">
        <f>""</f>
        <v/>
      </c>
      <c r="AB556" t="s">
        <v>1990</v>
      </c>
    </row>
    <row r="557" spans="1:28" x14ac:dyDescent="0.25">
      <c r="A557">
        <v>4246</v>
      </c>
      <c r="B557" t="str">
        <f t="shared" si="80"/>
        <v>070297000</v>
      </c>
      <c r="C557" t="s">
        <v>1983</v>
      </c>
      <c r="D557">
        <v>5151</v>
      </c>
      <c r="E557" t="str">
        <f>"070297122"</f>
        <v>070297122</v>
      </c>
      <c r="F557" t="s">
        <v>2029</v>
      </c>
      <c r="G557" t="s">
        <v>42</v>
      </c>
      <c r="H557" t="s">
        <v>2030</v>
      </c>
      <c r="I557" t="s">
        <v>2031</v>
      </c>
      <c r="J557" t="s">
        <v>315</v>
      </c>
      <c r="K557" t="str">
        <f>"6024675714"</f>
        <v>6024675714</v>
      </c>
      <c r="L557" t="str">
        <f>""</f>
        <v/>
      </c>
      <c r="M557" t="str">
        <f>""</f>
        <v/>
      </c>
      <c r="N557" t="str">
        <f>""</f>
        <v/>
      </c>
      <c r="O557" t="s">
        <v>2032</v>
      </c>
      <c r="P557" t="s">
        <v>2033</v>
      </c>
      <c r="R557" t="s">
        <v>1173</v>
      </c>
      <c r="S557" t="s">
        <v>36</v>
      </c>
      <c r="T557" t="str">
        <f t="shared" si="81"/>
        <v>85308</v>
      </c>
      <c r="U557" t="str">
        <f>""</f>
        <v/>
      </c>
      <c r="V557" t="s">
        <v>2033</v>
      </c>
      <c r="X557" t="s">
        <v>1173</v>
      </c>
      <c r="Y557" t="s">
        <v>36</v>
      </c>
      <c r="Z557" t="str">
        <f t="shared" si="82"/>
        <v>85308</v>
      </c>
      <c r="AA557" t="str">
        <f>""</f>
        <v/>
      </c>
      <c r="AB557" t="s">
        <v>1990</v>
      </c>
    </row>
    <row r="558" spans="1:28" x14ac:dyDescent="0.25">
      <c r="A558">
        <v>4246</v>
      </c>
      <c r="B558" t="str">
        <f t="shared" si="80"/>
        <v>070297000</v>
      </c>
      <c r="C558" t="s">
        <v>1983</v>
      </c>
      <c r="D558">
        <v>5152</v>
      </c>
      <c r="E558" t="str">
        <f>"070297123"</f>
        <v>070297123</v>
      </c>
      <c r="F558" t="s">
        <v>2034</v>
      </c>
      <c r="G558" t="s">
        <v>42</v>
      </c>
      <c r="H558" t="s">
        <v>2030</v>
      </c>
      <c r="I558" t="s">
        <v>2031</v>
      </c>
      <c r="J558" t="s">
        <v>315</v>
      </c>
      <c r="K558" t="str">
        <f>"6024675514"</f>
        <v>6024675514</v>
      </c>
      <c r="L558" t="str">
        <f>""</f>
        <v/>
      </c>
      <c r="M558" t="str">
        <f>""</f>
        <v/>
      </c>
      <c r="N558" t="str">
        <f>""</f>
        <v/>
      </c>
      <c r="O558" t="s">
        <v>2032</v>
      </c>
      <c r="P558" t="s">
        <v>2035</v>
      </c>
      <c r="R558" t="s">
        <v>964</v>
      </c>
      <c r="S558" t="s">
        <v>36</v>
      </c>
      <c r="T558" t="str">
        <f t="shared" si="81"/>
        <v>85308</v>
      </c>
      <c r="U558" t="str">
        <f>""</f>
        <v/>
      </c>
      <c r="V558" t="s">
        <v>2035</v>
      </c>
      <c r="X558" t="s">
        <v>964</v>
      </c>
      <c r="Y558" t="s">
        <v>36</v>
      </c>
      <c r="Z558" t="str">
        <f t="shared" si="82"/>
        <v>85308</v>
      </c>
      <c r="AA558" t="str">
        <f>""</f>
        <v/>
      </c>
      <c r="AB558" t="s">
        <v>1990</v>
      </c>
    </row>
    <row r="559" spans="1:28" x14ac:dyDescent="0.25">
      <c r="A559">
        <v>4246</v>
      </c>
      <c r="B559" t="str">
        <f t="shared" si="80"/>
        <v>070297000</v>
      </c>
      <c r="C559" t="s">
        <v>1983</v>
      </c>
      <c r="D559">
        <v>5153</v>
      </c>
      <c r="E559" t="str">
        <f>"070297125"</f>
        <v>070297125</v>
      </c>
      <c r="F559" t="s">
        <v>2036</v>
      </c>
      <c r="G559" t="s">
        <v>42</v>
      </c>
      <c r="H559" t="s">
        <v>2037</v>
      </c>
      <c r="I559" t="s">
        <v>2038</v>
      </c>
      <c r="J559" t="s">
        <v>315</v>
      </c>
      <c r="K559" t="str">
        <f>"6234454314"</f>
        <v>6234454314</v>
      </c>
      <c r="L559" t="str">
        <f>""</f>
        <v/>
      </c>
      <c r="M559" t="str">
        <f>""</f>
        <v/>
      </c>
      <c r="N559" t="str">
        <f>""</f>
        <v/>
      </c>
      <c r="O559" t="s">
        <v>2039</v>
      </c>
      <c r="P559" t="s">
        <v>2040</v>
      </c>
      <c r="R559" t="s">
        <v>1173</v>
      </c>
      <c r="S559" t="s">
        <v>36</v>
      </c>
      <c r="T559" t="str">
        <f t="shared" si="81"/>
        <v>85308</v>
      </c>
      <c r="U559" t="str">
        <f>""</f>
        <v/>
      </c>
      <c r="V559" t="s">
        <v>2040</v>
      </c>
      <c r="X559" t="s">
        <v>1173</v>
      </c>
      <c r="Y559" t="s">
        <v>36</v>
      </c>
      <c r="Z559" t="str">
        <f t="shared" si="82"/>
        <v>85308</v>
      </c>
      <c r="AA559" t="str">
        <f>""</f>
        <v/>
      </c>
      <c r="AB559" t="s">
        <v>1990</v>
      </c>
    </row>
    <row r="560" spans="1:28" x14ac:dyDescent="0.25">
      <c r="A560">
        <v>4246</v>
      </c>
      <c r="B560" t="str">
        <f t="shared" si="80"/>
        <v>070297000</v>
      </c>
      <c r="C560" t="s">
        <v>1983</v>
      </c>
      <c r="D560">
        <v>5154</v>
      </c>
      <c r="E560" t="str">
        <f>"070297127"</f>
        <v>070297127</v>
      </c>
      <c r="F560" t="s">
        <v>1540</v>
      </c>
      <c r="G560" t="s">
        <v>42</v>
      </c>
      <c r="H560" t="s">
        <v>2041</v>
      </c>
      <c r="I560" t="s">
        <v>2042</v>
      </c>
      <c r="J560" t="s">
        <v>315</v>
      </c>
      <c r="K560" t="str">
        <f>"6233764114"</f>
        <v>6233764114</v>
      </c>
      <c r="L560" t="str">
        <f>""</f>
        <v/>
      </c>
      <c r="M560" t="str">
        <f>""</f>
        <v/>
      </c>
      <c r="N560" t="str">
        <f>""</f>
        <v/>
      </c>
      <c r="O560" t="s">
        <v>2043</v>
      </c>
      <c r="P560" t="s">
        <v>2044</v>
      </c>
      <c r="R560" t="s">
        <v>1173</v>
      </c>
      <c r="S560" t="s">
        <v>36</v>
      </c>
      <c r="T560" t="str">
        <f t="shared" si="81"/>
        <v>85308</v>
      </c>
      <c r="U560" t="str">
        <f>""</f>
        <v/>
      </c>
      <c r="V560" t="s">
        <v>2044</v>
      </c>
      <c r="X560" t="s">
        <v>1173</v>
      </c>
      <c r="Y560" t="s">
        <v>36</v>
      </c>
      <c r="Z560" t="str">
        <f t="shared" si="82"/>
        <v>85308</v>
      </c>
      <c r="AA560" t="str">
        <f>""</f>
        <v/>
      </c>
      <c r="AB560" t="s">
        <v>1990</v>
      </c>
    </row>
    <row r="561" spans="1:28" x14ac:dyDescent="0.25">
      <c r="A561">
        <v>4246</v>
      </c>
      <c r="B561" t="str">
        <f t="shared" si="80"/>
        <v>070297000</v>
      </c>
      <c r="C561" t="s">
        <v>1983</v>
      </c>
      <c r="D561">
        <v>5155</v>
      </c>
      <c r="E561" t="str">
        <f>"070297128"</f>
        <v>070297128</v>
      </c>
      <c r="F561" t="s">
        <v>2045</v>
      </c>
      <c r="G561" t="s">
        <v>42</v>
      </c>
      <c r="H561" t="s">
        <v>2037</v>
      </c>
      <c r="I561" t="s">
        <v>2046</v>
      </c>
      <c r="J561" t="s">
        <v>315</v>
      </c>
      <c r="K561" t="str">
        <f>"6233763314"</f>
        <v>6233763314</v>
      </c>
      <c r="L561" t="str">
        <f>""</f>
        <v/>
      </c>
      <c r="M561" t="str">
        <f>""</f>
        <v/>
      </c>
      <c r="N561" t="str">
        <f>""</f>
        <v/>
      </c>
      <c r="O561" t="s">
        <v>2047</v>
      </c>
      <c r="P561" t="s">
        <v>2048</v>
      </c>
      <c r="R561" t="s">
        <v>1173</v>
      </c>
      <c r="S561" t="s">
        <v>36</v>
      </c>
      <c r="T561" t="str">
        <f>"85310"</f>
        <v>85310</v>
      </c>
      <c r="U561" t="str">
        <f>""</f>
        <v/>
      </c>
      <c r="V561" t="s">
        <v>2048</v>
      </c>
      <c r="X561" t="s">
        <v>1173</v>
      </c>
      <c r="Y561" t="s">
        <v>36</v>
      </c>
      <c r="Z561" t="str">
        <f>"85310"</f>
        <v>85310</v>
      </c>
      <c r="AA561" t="str">
        <f>""</f>
        <v/>
      </c>
      <c r="AB561" t="s">
        <v>1990</v>
      </c>
    </row>
    <row r="562" spans="1:28" x14ac:dyDescent="0.25">
      <c r="A562">
        <v>4246</v>
      </c>
      <c r="B562" t="str">
        <f t="shared" si="80"/>
        <v>070297000</v>
      </c>
      <c r="C562" t="s">
        <v>1983</v>
      </c>
      <c r="D562">
        <v>5156</v>
      </c>
      <c r="E562" t="str">
        <f>"070297129"</f>
        <v>070297129</v>
      </c>
      <c r="F562" t="s">
        <v>2049</v>
      </c>
      <c r="G562" t="s">
        <v>42</v>
      </c>
      <c r="H562" t="s">
        <v>2037</v>
      </c>
      <c r="I562" t="s">
        <v>2038</v>
      </c>
      <c r="J562" t="s">
        <v>315</v>
      </c>
      <c r="K562" t="str">
        <f>"6234454714"</f>
        <v>6234454714</v>
      </c>
      <c r="L562" t="str">
        <f>""</f>
        <v/>
      </c>
      <c r="M562" t="str">
        <f>""</f>
        <v/>
      </c>
      <c r="N562" t="str">
        <f>""</f>
        <v/>
      </c>
      <c r="O562" t="s">
        <v>2039</v>
      </c>
      <c r="P562" t="s">
        <v>2050</v>
      </c>
      <c r="R562" t="s">
        <v>964</v>
      </c>
      <c r="S562" t="s">
        <v>36</v>
      </c>
      <c r="T562" t="str">
        <f>"85310"</f>
        <v>85310</v>
      </c>
      <c r="U562" t="str">
        <f>""</f>
        <v/>
      </c>
      <c r="V562" t="s">
        <v>2050</v>
      </c>
      <c r="X562" t="s">
        <v>964</v>
      </c>
      <c r="Y562" t="s">
        <v>36</v>
      </c>
      <c r="Z562" t="str">
        <f>"85310"</f>
        <v>85310</v>
      </c>
      <c r="AA562" t="str">
        <f>""</f>
        <v/>
      </c>
      <c r="AB562" t="s">
        <v>1990</v>
      </c>
    </row>
    <row r="563" spans="1:28" x14ac:dyDescent="0.25">
      <c r="A563">
        <v>4246</v>
      </c>
      <c r="B563" t="str">
        <f t="shared" si="80"/>
        <v>070297000</v>
      </c>
      <c r="C563" t="s">
        <v>1983</v>
      </c>
      <c r="D563">
        <v>5157</v>
      </c>
      <c r="E563" t="str">
        <f>"070297130"</f>
        <v>070297130</v>
      </c>
      <c r="F563" t="s">
        <v>2051</v>
      </c>
      <c r="G563" t="s">
        <v>42</v>
      </c>
      <c r="H563" t="s">
        <v>1995</v>
      </c>
      <c r="I563" t="s">
        <v>1685</v>
      </c>
      <c r="J563" t="s">
        <v>315</v>
      </c>
      <c r="K563" t="str">
        <f>"6234453714"</f>
        <v>6234453714</v>
      </c>
      <c r="L563" t="str">
        <f>""</f>
        <v/>
      </c>
      <c r="M563" t="str">
        <f>""</f>
        <v/>
      </c>
      <c r="N563" t="str">
        <f>""</f>
        <v/>
      </c>
      <c r="O563" t="s">
        <v>2052</v>
      </c>
      <c r="P563" t="s">
        <v>2053</v>
      </c>
      <c r="R563" t="s">
        <v>964</v>
      </c>
      <c r="S563" t="s">
        <v>36</v>
      </c>
      <c r="T563" t="str">
        <f>"85027"</f>
        <v>85027</v>
      </c>
      <c r="U563" t="str">
        <f>""</f>
        <v/>
      </c>
      <c r="V563" t="s">
        <v>2053</v>
      </c>
      <c r="X563" t="s">
        <v>964</v>
      </c>
      <c r="Y563" t="s">
        <v>36</v>
      </c>
      <c r="Z563" t="str">
        <f>"85027"</f>
        <v>85027</v>
      </c>
      <c r="AA563" t="str">
        <f>""</f>
        <v/>
      </c>
      <c r="AB563" t="s">
        <v>1990</v>
      </c>
    </row>
    <row r="564" spans="1:28" x14ac:dyDescent="0.25">
      <c r="A564">
        <v>4246</v>
      </c>
      <c r="B564" t="str">
        <f t="shared" si="80"/>
        <v>070297000</v>
      </c>
      <c r="C564" t="s">
        <v>1983</v>
      </c>
      <c r="D564">
        <v>5158</v>
      </c>
      <c r="E564" t="str">
        <f>"070297131"</f>
        <v>070297131</v>
      </c>
      <c r="F564" t="s">
        <v>2054</v>
      </c>
      <c r="G564" t="s">
        <v>42</v>
      </c>
      <c r="H564" t="s">
        <v>2055</v>
      </c>
      <c r="I564" t="s">
        <v>2056</v>
      </c>
      <c r="J564" t="s">
        <v>315</v>
      </c>
      <c r="K564" t="str">
        <f>"6234455514"</f>
        <v>6234455514</v>
      </c>
      <c r="L564" t="str">
        <f>""</f>
        <v/>
      </c>
      <c r="M564" t="str">
        <f>""</f>
        <v/>
      </c>
      <c r="N564" t="str">
        <f>""</f>
        <v/>
      </c>
      <c r="O564" t="s">
        <v>2057</v>
      </c>
      <c r="P564" t="s">
        <v>2058</v>
      </c>
      <c r="R564" t="s">
        <v>1173</v>
      </c>
      <c r="S564" t="s">
        <v>36</v>
      </c>
      <c r="T564" t="str">
        <f>"85310"</f>
        <v>85310</v>
      </c>
      <c r="U564" t="str">
        <f>""</f>
        <v/>
      </c>
      <c r="V564" t="s">
        <v>2058</v>
      </c>
      <c r="X564" t="s">
        <v>1173</v>
      </c>
      <c r="Y564" t="s">
        <v>36</v>
      </c>
      <c r="Z564" t="str">
        <f>"85310"</f>
        <v>85310</v>
      </c>
      <c r="AA564" t="str">
        <f>""</f>
        <v/>
      </c>
      <c r="AB564" t="s">
        <v>1990</v>
      </c>
    </row>
    <row r="565" spans="1:28" x14ac:dyDescent="0.25">
      <c r="A565">
        <v>4246</v>
      </c>
      <c r="B565" t="str">
        <f t="shared" si="80"/>
        <v>070297000</v>
      </c>
      <c r="C565" t="s">
        <v>1983</v>
      </c>
      <c r="D565">
        <v>5159</v>
      </c>
      <c r="E565" t="str">
        <f>"070297132"</f>
        <v>070297132</v>
      </c>
      <c r="F565" t="s">
        <v>2059</v>
      </c>
      <c r="G565" t="s">
        <v>42</v>
      </c>
      <c r="H565" t="s">
        <v>2000</v>
      </c>
      <c r="I565" t="s">
        <v>2060</v>
      </c>
      <c r="J565" t="s">
        <v>315</v>
      </c>
      <c r="K565" t="str">
        <f>"6234453514"</f>
        <v>6234453514</v>
      </c>
      <c r="L565" t="str">
        <f>""</f>
        <v/>
      </c>
      <c r="M565" t="str">
        <f>""</f>
        <v/>
      </c>
      <c r="N565" t="str">
        <f>""</f>
        <v/>
      </c>
      <c r="O565" t="s">
        <v>2061</v>
      </c>
      <c r="P565" t="s">
        <v>2062</v>
      </c>
      <c r="R565" t="s">
        <v>2063</v>
      </c>
      <c r="S565" t="s">
        <v>36</v>
      </c>
      <c r="T565" t="str">
        <f>"85086"</f>
        <v>85086</v>
      </c>
      <c r="U565" t="str">
        <f>""</f>
        <v/>
      </c>
      <c r="V565" t="s">
        <v>2062</v>
      </c>
      <c r="X565" t="s">
        <v>2063</v>
      </c>
      <c r="Y565" t="s">
        <v>36</v>
      </c>
      <c r="Z565" t="str">
        <f>"85086"</f>
        <v>85086</v>
      </c>
      <c r="AA565" t="str">
        <f>""</f>
        <v/>
      </c>
      <c r="AB565" t="s">
        <v>1990</v>
      </c>
    </row>
    <row r="566" spans="1:28" x14ac:dyDescent="0.25">
      <c r="A566">
        <v>4246</v>
      </c>
      <c r="B566" t="str">
        <f t="shared" si="80"/>
        <v>070297000</v>
      </c>
      <c r="C566" t="s">
        <v>1983</v>
      </c>
      <c r="D566">
        <v>5160</v>
      </c>
      <c r="E566" t="str">
        <f>"070297134"</f>
        <v>070297134</v>
      </c>
      <c r="F566" t="s">
        <v>2064</v>
      </c>
      <c r="G566" t="s">
        <v>42</v>
      </c>
      <c r="H566" t="s">
        <v>586</v>
      </c>
      <c r="I566" t="s">
        <v>2065</v>
      </c>
      <c r="J566" t="s">
        <v>315</v>
      </c>
      <c r="K566" t="str">
        <f>"6233763914"</f>
        <v>6233763914</v>
      </c>
      <c r="L566" t="str">
        <f>""</f>
        <v/>
      </c>
      <c r="M566" t="str">
        <f>""</f>
        <v/>
      </c>
      <c r="N566" t="str">
        <f>""</f>
        <v/>
      </c>
      <c r="O566" t="s">
        <v>2066</v>
      </c>
      <c r="P566" t="s">
        <v>2067</v>
      </c>
      <c r="R566" t="s">
        <v>1173</v>
      </c>
      <c r="S566" t="s">
        <v>36</v>
      </c>
      <c r="T566" t="str">
        <f>"85310"</f>
        <v>85310</v>
      </c>
      <c r="U566" t="str">
        <f>""</f>
        <v/>
      </c>
      <c r="V566" t="s">
        <v>2067</v>
      </c>
      <c r="X566" t="s">
        <v>1173</v>
      </c>
      <c r="Y566" t="s">
        <v>36</v>
      </c>
      <c r="Z566" t="str">
        <f>"85310"</f>
        <v>85310</v>
      </c>
      <c r="AA566" t="str">
        <f>""</f>
        <v/>
      </c>
      <c r="AB566" t="s">
        <v>1990</v>
      </c>
    </row>
    <row r="567" spans="1:28" x14ac:dyDescent="0.25">
      <c r="A567">
        <v>4246</v>
      </c>
      <c r="B567" t="str">
        <f t="shared" si="80"/>
        <v>070297000</v>
      </c>
      <c r="C567" t="s">
        <v>1983</v>
      </c>
      <c r="D567">
        <v>5161</v>
      </c>
      <c r="E567" t="str">
        <f>"070297219"</f>
        <v>070297219</v>
      </c>
      <c r="F567" t="s">
        <v>2068</v>
      </c>
      <c r="G567" t="s">
        <v>42</v>
      </c>
      <c r="H567" t="s">
        <v>442</v>
      </c>
      <c r="I567" t="s">
        <v>2069</v>
      </c>
      <c r="J567" t="s">
        <v>315</v>
      </c>
      <c r="K567" t="str">
        <f>"6024676714"</f>
        <v>6024676714</v>
      </c>
      <c r="L567" t="str">
        <f>""</f>
        <v/>
      </c>
      <c r="M567" t="str">
        <f>""</f>
        <v/>
      </c>
      <c r="N567" t="str">
        <f>""</f>
        <v/>
      </c>
      <c r="O567" t="s">
        <v>2070</v>
      </c>
      <c r="P567" t="s">
        <v>2071</v>
      </c>
      <c r="R567" t="s">
        <v>1173</v>
      </c>
      <c r="S567" t="s">
        <v>36</v>
      </c>
      <c r="T567" t="str">
        <f>"85308"</f>
        <v>85308</v>
      </c>
      <c r="U567" t="str">
        <f>""</f>
        <v/>
      </c>
      <c r="V567" t="s">
        <v>2071</v>
      </c>
      <c r="X567" t="s">
        <v>1173</v>
      </c>
      <c r="Y567" t="s">
        <v>36</v>
      </c>
      <c r="Z567" t="str">
        <f>"85308"</f>
        <v>85308</v>
      </c>
      <c r="AA567" t="str">
        <f>""</f>
        <v/>
      </c>
      <c r="AB567" t="s">
        <v>1990</v>
      </c>
    </row>
    <row r="568" spans="1:28" x14ac:dyDescent="0.25">
      <c r="A568">
        <v>4246</v>
      </c>
      <c r="B568" t="str">
        <f t="shared" si="80"/>
        <v>070297000</v>
      </c>
      <c r="C568" t="s">
        <v>1983</v>
      </c>
      <c r="D568">
        <v>5162</v>
      </c>
      <c r="E568" t="str">
        <f>"070297224"</f>
        <v>070297224</v>
      </c>
      <c r="F568" t="s">
        <v>2072</v>
      </c>
      <c r="G568" t="s">
        <v>42</v>
      </c>
      <c r="H568" t="s">
        <v>1561</v>
      </c>
      <c r="I568" t="s">
        <v>2073</v>
      </c>
      <c r="J568" t="s">
        <v>315</v>
      </c>
      <c r="K568" t="str">
        <f>"6234453014"</f>
        <v>6234453014</v>
      </c>
      <c r="L568" t="str">
        <f>""</f>
        <v/>
      </c>
      <c r="M568" t="str">
        <f>""</f>
        <v/>
      </c>
      <c r="N568" t="str">
        <f>""</f>
        <v/>
      </c>
      <c r="O568" t="s">
        <v>2074</v>
      </c>
      <c r="P568" t="s">
        <v>2075</v>
      </c>
      <c r="R568" t="s">
        <v>964</v>
      </c>
      <c r="S568" t="s">
        <v>36</v>
      </c>
      <c r="T568" t="str">
        <f>"85027"</f>
        <v>85027</v>
      </c>
      <c r="U568" t="str">
        <f>""</f>
        <v/>
      </c>
      <c r="V568" t="s">
        <v>2075</v>
      </c>
      <c r="X568" t="s">
        <v>964</v>
      </c>
      <c r="Y568" t="s">
        <v>36</v>
      </c>
      <c r="Z568" t="str">
        <f>"85027"</f>
        <v>85027</v>
      </c>
      <c r="AA568" t="str">
        <f>""</f>
        <v/>
      </c>
      <c r="AB568" t="s">
        <v>1990</v>
      </c>
    </row>
    <row r="569" spans="1:28" x14ac:dyDescent="0.25">
      <c r="A569">
        <v>4246</v>
      </c>
      <c r="B569" t="str">
        <f t="shared" si="80"/>
        <v>070297000</v>
      </c>
      <c r="C569" t="s">
        <v>1983</v>
      </c>
      <c r="D569">
        <v>5163</v>
      </c>
      <c r="E569" t="str">
        <f>"070297233"</f>
        <v>070297233</v>
      </c>
      <c r="F569" t="s">
        <v>2076</v>
      </c>
      <c r="G569" t="s">
        <v>42</v>
      </c>
      <c r="H569" t="s">
        <v>2077</v>
      </c>
      <c r="I569" t="s">
        <v>2078</v>
      </c>
      <c r="J569" t="s">
        <v>315</v>
      </c>
      <c r="K569" t="str">
        <f>"6233763014"</f>
        <v>6233763014</v>
      </c>
      <c r="L569" t="str">
        <f>""</f>
        <v/>
      </c>
      <c r="M569" t="str">
        <f>""</f>
        <v/>
      </c>
      <c r="N569" t="str">
        <f>""</f>
        <v/>
      </c>
      <c r="O569" t="s">
        <v>2079</v>
      </c>
      <c r="P569" t="s">
        <v>2080</v>
      </c>
      <c r="R569" t="s">
        <v>1173</v>
      </c>
      <c r="S569" t="s">
        <v>36</v>
      </c>
      <c r="T569" t="str">
        <f>"85310"</f>
        <v>85310</v>
      </c>
      <c r="U569" t="str">
        <f>""</f>
        <v/>
      </c>
      <c r="V569" t="s">
        <v>2080</v>
      </c>
      <c r="X569" t="s">
        <v>1173</v>
      </c>
      <c r="Y569" t="s">
        <v>36</v>
      </c>
      <c r="Z569" t="str">
        <f>"85310"</f>
        <v>85310</v>
      </c>
      <c r="AA569" t="str">
        <f>""</f>
        <v/>
      </c>
      <c r="AB569" t="s">
        <v>1990</v>
      </c>
    </row>
    <row r="570" spans="1:28" x14ac:dyDescent="0.25">
      <c r="A570">
        <v>4246</v>
      </c>
      <c r="B570" t="str">
        <f t="shared" si="80"/>
        <v>070297000</v>
      </c>
      <c r="C570" t="s">
        <v>1983</v>
      </c>
      <c r="D570">
        <v>6016</v>
      </c>
      <c r="E570" t="str">
        <f>"070297135"</f>
        <v>070297135</v>
      </c>
      <c r="F570" t="s">
        <v>2081</v>
      </c>
      <c r="G570" t="s">
        <v>42</v>
      </c>
      <c r="H570" t="s">
        <v>2082</v>
      </c>
      <c r="I570" t="s">
        <v>2083</v>
      </c>
      <c r="J570" t="s">
        <v>315</v>
      </c>
      <c r="K570" t="str">
        <f>"6234454514"</f>
        <v>6234454514</v>
      </c>
      <c r="L570" t="str">
        <f>""</f>
        <v/>
      </c>
      <c r="M570" t="str">
        <f>""</f>
        <v/>
      </c>
      <c r="N570" t="str">
        <f>""</f>
        <v/>
      </c>
      <c r="O570" t="s">
        <v>2084</v>
      </c>
      <c r="P570" t="s">
        <v>2085</v>
      </c>
      <c r="R570" t="s">
        <v>964</v>
      </c>
      <c r="S570" t="s">
        <v>36</v>
      </c>
      <c r="T570" t="str">
        <f>"85027"</f>
        <v>85027</v>
      </c>
      <c r="U570" t="str">
        <f>""</f>
        <v/>
      </c>
      <c r="V570" t="s">
        <v>2085</v>
      </c>
      <c r="X570" t="s">
        <v>964</v>
      </c>
      <c r="Y570" t="s">
        <v>36</v>
      </c>
      <c r="Z570" t="str">
        <f>"85027"</f>
        <v>85027</v>
      </c>
      <c r="AA570" t="str">
        <f>""</f>
        <v/>
      </c>
      <c r="AB570" t="s">
        <v>1990</v>
      </c>
    </row>
    <row r="571" spans="1:28" x14ac:dyDescent="0.25">
      <c r="A571">
        <v>4246</v>
      </c>
      <c r="B571" t="str">
        <f t="shared" si="80"/>
        <v>070297000</v>
      </c>
      <c r="C571" t="s">
        <v>1983</v>
      </c>
      <c r="D571">
        <v>78921</v>
      </c>
      <c r="E571" t="str">
        <f>"070297136"</f>
        <v>070297136</v>
      </c>
      <c r="F571" t="s">
        <v>2086</v>
      </c>
      <c r="G571" t="s">
        <v>42</v>
      </c>
      <c r="H571" t="s">
        <v>2087</v>
      </c>
      <c r="I571" t="s">
        <v>2088</v>
      </c>
      <c r="J571" t="s">
        <v>315</v>
      </c>
      <c r="K571" t="str">
        <f>"6233764314"</f>
        <v>6233764314</v>
      </c>
      <c r="L571" t="str">
        <f>""</f>
        <v/>
      </c>
      <c r="M571" t="str">
        <f>""</f>
        <v/>
      </c>
      <c r="N571" t="str">
        <f>""</f>
        <v/>
      </c>
      <c r="O571" t="s">
        <v>2089</v>
      </c>
      <c r="P571" t="s">
        <v>2090</v>
      </c>
      <c r="R571" t="s">
        <v>1173</v>
      </c>
      <c r="S571" t="s">
        <v>36</v>
      </c>
      <c r="T571" t="str">
        <f>"85308"</f>
        <v>85308</v>
      </c>
      <c r="U571" t="str">
        <f>""</f>
        <v/>
      </c>
      <c r="V571" t="s">
        <v>2090</v>
      </c>
      <c r="X571" t="s">
        <v>1173</v>
      </c>
      <c r="Y571" t="s">
        <v>36</v>
      </c>
      <c r="Z571" t="str">
        <f>"85308"</f>
        <v>85308</v>
      </c>
      <c r="AA571" t="str">
        <f>""</f>
        <v/>
      </c>
      <c r="AB571" t="s">
        <v>1990</v>
      </c>
    </row>
    <row r="572" spans="1:28" x14ac:dyDescent="0.25">
      <c r="A572">
        <v>4246</v>
      </c>
      <c r="B572" t="str">
        <f t="shared" si="80"/>
        <v>070297000</v>
      </c>
      <c r="C572" t="s">
        <v>1983</v>
      </c>
      <c r="D572">
        <v>78922</v>
      </c>
      <c r="E572" t="str">
        <f>"070297137"</f>
        <v>070297137</v>
      </c>
      <c r="F572" t="s">
        <v>2091</v>
      </c>
      <c r="G572" t="s">
        <v>42</v>
      </c>
      <c r="H572" t="s">
        <v>2092</v>
      </c>
      <c r="I572" t="s">
        <v>2093</v>
      </c>
      <c r="J572" t="s">
        <v>315</v>
      </c>
      <c r="K572" t="str">
        <f>"6233763714"</f>
        <v>6233763714</v>
      </c>
      <c r="L572" t="str">
        <f>""</f>
        <v/>
      </c>
      <c r="M572" t="str">
        <f>""</f>
        <v/>
      </c>
      <c r="N572" t="str">
        <f>""</f>
        <v/>
      </c>
      <c r="O572" t="s">
        <v>2094</v>
      </c>
      <c r="P572" t="s">
        <v>2095</v>
      </c>
      <c r="R572" t="s">
        <v>2096</v>
      </c>
      <c r="S572" t="s">
        <v>36</v>
      </c>
      <c r="T572" t="str">
        <f>"85086"</f>
        <v>85086</v>
      </c>
      <c r="U572" t="str">
        <f>""</f>
        <v/>
      </c>
      <c r="V572" t="s">
        <v>2095</v>
      </c>
      <c r="X572" t="s">
        <v>2096</v>
      </c>
      <c r="Y572" t="s">
        <v>36</v>
      </c>
      <c r="Z572" t="str">
        <f>"85086"</f>
        <v>85086</v>
      </c>
      <c r="AA572" t="str">
        <f>""</f>
        <v/>
      </c>
      <c r="AB572" t="s">
        <v>1990</v>
      </c>
    </row>
    <row r="573" spans="1:28" x14ac:dyDescent="0.25">
      <c r="A573">
        <v>4246</v>
      </c>
      <c r="B573" t="str">
        <f t="shared" si="80"/>
        <v>070297000</v>
      </c>
      <c r="C573" t="s">
        <v>1983</v>
      </c>
      <c r="D573">
        <v>79290</v>
      </c>
      <c r="E573" t="str">
        <f>"070297138"</f>
        <v>070297138</v>
      </c>
      <c r="F573" t="s">
        <v>2097</v>
      </c>
      <c r="G573" t="s">
        <v>42</v>
      </c>
      <c r="H573" t="s">
        <v>586</v>
      </c>
      <c r="I573" t="s">
        <v>2065</v>
      </c>
      <c r="J573" t="s">
        <v>315</v>
      </c>
      <c r="K573" t="str">
        <f>"6233764514"</f>
        <v>6233764514</v>
      </c>
      <c r="L573" t="str">
        <f>""</f>
        <v/>
      </c>
      <c r="M573" t="str">
        <f>""</f>
        <v/>
      </c>
      <c r="N573" t="str">
        <f>""</f>
        <v/>
      </c>
      <c r="O573" t="s">
        <v>2066</v>
      </c>
      <c r="P573" t="s">
        <v>2098</v>
      </c>
      <c r="R573" t="s">
        <v>1173</v>
      </c>
      <c r="S573" t="s">
        <v>36</v>
      </c>
      <c r="T573" t="str">
        <f>"85308"</f>
        <v>85308</v>
      </c>
      <c r="U573" t="str">
        <f>""</f>
        <v/>
      </c>
      <c r="V573" t="s">
        <v>2098</v>
      </c>
      <c r="X573" t="s">
        <v>1173</v>
      </c>
      <c r="Y573" t="s">
        <v>36</v>
      </c>
      <c r="Z573" t="str">
        <f>"85308"</f>
        <v>85308</v>
      </c>
      <c r="AA573" t="str">
        <f>""</f>
        <v/>
      </c>
      <c r="AB573" t="s">
        <v>1990</v>
      </c>
    </row>
    <row r="574" spans="1:28" x14ac:dyDescent="0.25">
      <c r="A574">
        <v>4246</v>
      </c>
      <c r="B574" t="str">
        <f t="shared" si="80"/>
        <v>070297000</v>
      </c>
      <c r="C574" t="s">
        <v>1983</v>
      </c>
      <c r="D574">
        <v>79573</v>
      </c>
      <c r="E574" t="str">
        <f>"070297140"</f>
        <v>070297140</v>
      </c>
      <c r="F574" t="s">
        <v>2099</v>
      </c>
      <c r="G574" t="s">
        <v>42</v>
      </c>
      <c r="H574" t="s">
        <v>2055</v>
      </c>
      <c r="I574" t="s">
        <v>2056</v>
      </c>
      <c r="J574" t="s">
        <v>315</v>
      </c>
      <c r="K574" t="str">
        <f>"6234455314"</f>
        <v>6234455314</v>
      </c>
      <c r="L574" t="str">
        <f>""</f>
        <v/>
      </c>
      <c r="M574" t="str">
        <f>""</f>
        <v/>
      </c>
      <c r="N574" t="str">
        <f>""</f>
        <v/>
      </c>
      <c r="O574" t="s">
        <v>2057</v>
      </c>
      <c r="P574" t="s">
        <v>2100</v>
      </c>
      <c r="R574" t="s">
        <v>1173</v>
      </c>
      <c r="S574" t="s">
        <v>36</v>
      </c>
      <c r="T574" t="str">
        <f>"85310"</f>
        <v>85310</v>
      </c>
      <c r="U574" t="str">
        <f>""</f>
        <v/>
      </c>
      <c r="V574" t="s">
        <v>2100</v>
      </c>
      <c r="X574" t="s">
        <v>1173</v>
      </c>
      <c r="Y574" t="s">
        <v>36</v>
      </c>
      <c r="Z574" t="str">
        <f>"85310"</f>
        <v>85310</v>
      </c>
      <c r="AA574" t="str">
        <f>""</f>
        <v/>
      </c>
      <c r="AB574" t="s">
        <v>1990</v>
      </c>
    </row>
    <row r="575" spans="1:28" x14ac:dyDescent="0.25">
      <c r="A575">
        <v>4246</v>
      </c>
      <c r="B575" t="str">
        <f t="shared" si="80"/>
        <v>070297000</v>
      </c>
      <c r="C575" t="s">
        <v>1983</v>
      </c>
      <c r="D575">
        <v>79574</v>
      </c>
      <c r="E575" t="str">
        <f>"070297139"</f>
        <v>070297139</v>
      </c>
      <c r="F575" t="s">
        <v>2101</v>
      </c>
      <c r="G575" t="s">
        <v>42</v>
      </c>
      <c r="H575" t="s">
        <v>1271</v>
      </c>
      <c r="I575" t="s">
        <v>2102</v>
      </c>
      <c r="J575" t="s">
        <v>315</v>
      </c>
      <c r="K575" t="str">
        <f>"6233764814"</f>
        <v>6233764814</v>
      </c>
      <c r="L575" t="str">
        <f>""</f>
        <v/>
      </c>
      <c r="M575" t="str">
        <f>""</f>
        <v/>
      </c>
      <c r="N575" t="str">
        <f>""</f>
        <v/>
      </c>
      <c r="O575" t="s">
        <v>2103</v>
      </c>
      <c r="P575" t="s">
        <v>2104</v>
      </c>
      <c r="R575" t="s">
        <v>1173</v>
      </c>
      <c r="S575" t="s">
        <v>36</v>
      </c>
      <c r="T575" t="str">
        <f>"85308"</f>
        <v>85308</v>
      </c>
      <c r="U575" t="str">
        <f>""</f>
        <v/>
      </c>
      <c r="V575" t="s">
        <v>2104</v>
      </c>
      <c r="X575" t="s">
        <v>1173</v>
      </c>
      <c r="Y575" t="s">
        <v>36</v>
      </c>
      <c r="Z575" t="str">
        <f>"85308"</f>
        <v>85308</v>
      </c>
      <c r="AA575" t="str">
        <f>""</f>
        <v/>
      </c>
      <c r="AB575" t="s">
        <v>1990</v>
      </c>
    </row>
    <row r="576" spans="1:28" x14ac:dyDescent="0.25">
      <c r="A576">
        <v>4246</v>
      </c>
      <c r="B576" t="str">
        <f t="shared" si="80"/>
        <v>070297000</v>
      </c>
      <c r="C576" t="s">
        <v>1983</v>
      </c>
      <c r="D576">
        <v>80317</v>
      </c>
      <c r="E576" t="str">
        <f>"070297241"</f>
        <v>070297241</v>
      </c>
      <c r="F576" t="s">
        <v>2105</v>
      </c>
      <c r="G576" t="s">
        <v>42</v>
      </c>
      <c r="H576" t="s">
        <v>2106</v>
      </c>
      <c r="I576" t="s">
        <v>2107</v>
      </c>
      <c r="J576" t="s">
        <v>315</v>
      </c>
      <c r="K576" t="str">
        <f>"6234457100"</f>
        <v>6234457100</v>
      </c>
      <c r="L576" t="str">
        <f>""</f>
        <v/>
      </c>
      <c r="M576" t="str">
        <f>""</f>
        <v/>
      </c>
      <c r="N576" t="str">
        <f>""</f>
        <v/>
      </c>
      <c r="O576" t="s">
        <v>2108</v>
      </c>
      <c r="P576" t="s">
        <v>2109</v>
      </c>
      <c r="R576" t="s">
        <v>1173</v>
      </c>
      <c r="S576" t="s">
        <v>36</v>
      </c>
      <c r="T576" t="str">
        <f>"85310"</f>
        <v>85310</v>
      </c>
      <c r="U576" t="str">
        <f>""</f>
        <v/>
      </c>
      <c r="V576" t="s">
        <v>2109</v>
      </c>
      <c r="X576" t="s">
        <v>1173</v>
      </c>
      <c r="Y576" t="s">
        <v>36</v>
      </c>
      <c r="Z576" t="str">
        <f>"85310"</f>
        <v>85310</v>
      </c>
      <c r="AA576" t="str">
        <f>""</f>
        <v/>
      </c>
      <c r="AB576" t="s">
        <v>1990</v>
      </c>
    </row>
    <row r="577" spans="1:28" x14ac:dyDescent="0.25">
      <c r="A577">
        <v>4246</v>
      </c>
      <c r="B577" t="str">
        <f t="shared" si="80"/>
        <v>070297000</v>
      </c>
      <c r="C577" t="s">
        <v>1983</v>
      </c>
      <c r="D577">
        <v>80318</v>
      </c>
      <c r="E577" t="str">
        <f>"070297142"</f>
        <v>070297142</v>
      </c>
      <c r="F577" t="s">
        <v>2110</v>
      </c>
      <c r="G577" t="s">
        <v>42</v>
      </c>
      <c r="H577" t="s">
        <v>1599</v>
      </c>
      <c r="I577" t="s">
        <v>2111</v>
      </c>
      <c r="J577" t="s">
        <v>315</v>
      </c>
      <c r="K577" t="str">
        <f>"6234457400"</f>
        <v>6234457400</v>
      </c>
      <c r="L577" t="str">
        <f>""</f>
        <v/>
      </c>
      <c r="M577" t="str">
        <f>""</f>
        <v/>
      </c>
      <c r="N577" t="str">
        <f>""</f>
        <v/>
      </c>
      <c r="O577" t="s">
        <v>2112</v>
      </c>
      <c r="P577" t="s">
        <v>2113</v>
      </c>
      <c r="R577" t="s">
        <v>2096</v>
      </c>
      <c r="S577" t="s">
        <v>36</v>
      </c>
      <c r="T577" t="str">
        <f>"85086"</f>
        <v>85086</v>
      </c>
      <c r="U577" t="str">
        <f>""</f>
        <v/>
      </c>
      <c r="V577" t="s">
        <v>2113</v>
      </c>
      <c r="X577" t="s">
        <v>2096</v>
      </c>
      <c r="Y577" t="s">
        <v>36</v>
      </c>
      <c r="Z577" t="str">
        <f>"85086"</f>
        <v>85086</v>
      </c>
      <c r="AA577" t="str">
        <f>""</f>
        <v/>
      </c>
      <c r="AB577" t="s">
        <v>1990</v>
      </c>
    </row>
    <row r="578" spans="1:28" x14ac:dyDescent="0.25">
      <c r="A578">
        <v>4246</v>
      </c>
      <c r="B578" t="str">
        <f t="shared" si="80"/>
        <v>070297000</v>
      </c>
      <c r="C578" t="s">
        <v>1983</v>
      </c>
      <c r="D578">
        <v>81016</v>
      </c>
      <c r="E578" t="str">
        <f>"070297143"</f>
        <v>070297143</v>
      </c>
      <c r="F578" t="s">
        <v>2114</v>
      </c>
      <c r="G578" t="s">
        <v>42</v>
      </c>
      <c r="H578" t="s">
        <v>1318</v>
      </c>
      <c r="I578" t="s">
        <v>2115</v>
      </c>
      <c r="J578" t="s">
        <v>315</v>
      </c>
      <c r="K578" t="str">
        <f>"6234457614"</f>
        <v>6234457614</v>
      </c>
      <c r="L578" t="str">
        <f>""</f>
        <v/>
      </c>
      <c r="M578" t="str">
        <f>""</f>
        <v/>
      </c>
      <c r="N578" t="str">
        <f>""</f>
        <v/>
      </c>
      <c r="O578" t="s">
        <v>2116</v>
      </c>
      <c r="P578" t="s">
        <v>2117</v>
      </c>
      <c r="R578" t="s">
        <v>1165</v>
      </c>
      <c r="S578" t="s">
        <v>36</v>
      </c>
      <c r="T578" t="str">
        <f>"85383"</f>
        <v>85383</v>
      </c>
      <c r="U578" t="str">
        <f>""</f>
        <v/>
      </c>
      <c r="V578" t="s">
        <v>2117</v>
      </c>
      <c r="X578" t="s">
        <v>1165</v>
      </c>
      <c r="Y578" t="s">
        <v>36</v>
      </c>
      <c r="Z578" t="str">
        <f>"85383"</f>
        <v>85383</v>
      </c>
      <c r="AA578" t="str">
        <f>""</f>
        <v/>
      </c>
      <c r="AB578" t="s">
        <v>1990</v>
      </c>
    </row>
    <row r="579" spans="1:28" x14ac:dyDescent="0.25">
      <c r="A579">
        <v>4246</v>
      </c>
      <c r="B579" t="str">
        <f t="shared" si="80"/>
        <v>070297000</v>
      </c>
      <c r="C579" t="s">
        <v>1983</v>
      </c>
      <c r="D579">
        <v>81017</v>
      </c>
      <c r="E579" t="str">
        <f>"070297144"</f>
        <v>070297144</v>
      </c>
      <c r="F579" t="s">
        <v>2118</v>
      </c>
      <c r="G579" t="s">
        <v>42</v>
      </c>
      <c r="H579" t="s">
        <v>634</v>
      </c>
      <c r="I579" t="s">
        <v>2119</v>
      </c>
      <c r="J579" t="s">
        <v>315</v>
      </c>
      <c r="K579" t="str">
        <f>"6234457814"</f>
        <v>6234457814</v>
      </c>
      <c r="L579" t="str">
        <f>""</f>
        <v/>
      </c>
      <c r="M579" t="str">
        <f>""</f>
        <v/>
      </c>
      <c r="N579" t="str">
        <f>""</f>
        <v/>
      </c>
      <c r="O579" t="s">
        <v>2120</v>
      </c>
      <c r="P579" t="s">
        <v>2121</v>
      </c>
      <c r="R579" t="s">
        <v>964</v>
      </c>
      <c r="S579" t="s">
        <v>36</v>
      </c>
      <c r="T579" t="str">
        <f>"85086"</f>
        <v>85086</v>
      </c>
      <c r="U579" t="str">
        <f>""</f>
        <v/>
      </c>
      <c r="V579" t="s">
        <v>2121</v>
      </c>
      <c r="X579" t="s">
        <v>964</v>
      </c>
      <c r="Y579" t="s">
        <v>36</v>
      </c>
      <c r="Z579" t="str">
        <f>"85086"</f>
        <v>85086</v>
      </c>
      <c r="AA579" t="str">
        <f>""</f>
        <v/>
      </c>
      <c r="AB579" t="s">
        <v>1990</v>
      </c>
    </row>
    <row r="580" spans="1:28" x14ac:dyDescent="0.25">
      <c r="A580">
        <v>4246</v>
      </c>
      <c r="B580" t="str">
        <f t="shared" si="80"/>
        <v>070297000</v>
      </c>
      <c r="C580" t="s">
        <v>1983</v>
      </c>
      <c r="D580">
        <v>85850</v>
      </c>
      <c r="E580" t="str">
        <f>"070297245"</f>
        <v>070297245</v>
      </c>
      <c r="F580" t="s">
        <v>2122</v>
      </c>
      <c r="G580" t="s">
        <v>42</v>
      </c>
      <c r="H580" t="s">
        <v>2123</v>
      </c>
      <c r="I580" t="s">
        <v>2124</v>
      </c>
      <c r="J580" t="s">
        <v>315</v>
      </c>
      <c r="K580" t="str">
        <f>"6234458614"</f>
        <v>6234458614</v>
      </c>
      <c r="L580" t="str">
        <f>""</f>
        <v/>
      </c>
      <c r="M580" t="str">
        <f>""</f>
        <v/>
      </c>
      <c r="N580" t="str">
        <f>""</f>
        <v/>
      </c>
      <c r="O580" t="s">
        <v>2125</v>
      </c>
      <c r="P580" t="s">
        <v>2126</v>
      </c>
      <c r="R580" t="s">
        <v>2096</v>
      </c>
      <c r="S580" t="s">
        <v>36</v>
      </c>
      <c r="T580" t="str">
        <f>"85086"</f>
        <v>85086</v>
      </c>
      <c r="U580" t="str">
        <f>""</f>
        <v/>
      </c>
      <c r="V580" t="s">
        <v>2126</v>
      </c>
      <c r="X580" t="s">
        <v>2096</v>
      </c>
      <c r="Y580" t="s">
        <v>36</v>
      </c>
      <c r="Z580" t="str">
        <f>"85086"</f>
        <v>85086</v>
      </c>
      <c r="AA580" t="str">
        <f>""</f>
        <v/>
      </c>
      <c r="AB580" t="s">
        <v>1990</v>
      </c>
    </row>
    <row r="581" spans="1:28" x14ac:dyDescent="0.25">
      <c r="A581">
        <v>4246</v>
      </c>
      <c r="B581" t="str">
        <f t="shared" si="80"/>
        <v>070297000</v>
      </c>
      <c r="C581" t="s">
        <v>1983</v>
      </c>
      <c r="D581">
        <v>85851</v>
      </c>
      <c r="E581" t="str">
        <f>"070297146"</f>
        <v>070297146</v>
      </c>
      <c r="F581" t="s">
        <v>2127</v>
      </c>
      <c r="G581" t="s">
        <v>42</v>
      </c>
      <c r="H581" t="s">
        <v>1694</v>
      </c>
      <c r="I581" t="s">
        <v>1275</v>
      </c>
      <c r="J581" t="s">
        <v>315</v>
      </c>
      <c r="K581" t="str">
        <f>"6234458014"</f>
        <v>6234458014</v>
      </c>
      <c r="L581" t="str">
        <f>""</f>
        <v/>
      </c>
      <c r="M581" t="str">
        <f>""</f>
        <v/>
      </c>
      <c r="N581" t="str">
        <f>""</f>
        <v/>
      </c>
      <c r="O581" t="s">
        <v>2128</v>
      </c>
      <c r="P581" t="s">
        <v>2129</v>
      </c>
      <c r="R581" t="s">
        <v>964</v>
      </c>
      <c r="S581" t="s">
        <v>36</v>
      </c>
      <c r="T581" t="str">
        <f>"85086"</f>
        <v>85086</v>
      </c>
      <c r="U581" t="str">
        <f>""</f>
        <v/>
      </c>
      <c r="V581" t="s">
        <v>2129</v>
      </c>
      <c r="X581" t="s">
        <v>964</v>
      </c>
      <c r="Y581" t="s">
        <v>36</v>
      </c>
      <c r="Z581" t="str">
        <f>"85086"</f>
        <v>85086</v>
      </c>
      <c r="AA581" t="str">
        <f>""</f>
        <v/>
      </c>
      <c r="AB581" t="s">
        <v>1990</v>
      </c>
    </row>
    <row r="582" spans="1:28" x14ac:dyDescent="0.25">
      <c r="A582">
        <v>4246</v>
      </c>
      <c r="B582" t="str">
        <f t="shared" si="80"/>
        <v>070297000</v>
      </c>
      <c r="C582" t="s">
        <v>1983</v>
      </c>
      <c r="D582">
        <v>87528</v>
      </c>
      <c r="E582" t="str">
        <f>"070297147"</f>
        <v>070297147</v>
      </c>
      <c r="F582" t="s">
        <v>2130</v>
      </c>
      <c r="G582" t="s">
        <v>42</v>
      </c>
      <c r="H582" t="s">
        <v>2131</v>
      </c>
      <c r="I582" t="s">
        <v>2132</v>
      </c>
      <c r="J582" t="s">
        <v>315</v>
      </c>
      <c r="K582" t="str">
        <f>"6234457614"</f>
        <v>6234457614</v>
      </c>
      <c r="L582" t="str">
        <f>""</f>
        <v/>
      </c>
      <c r="M582" t="str">
        <f>""</f>
        <v/>
      </c>
      <c r="N582" t="str">
        <f>""</f>
        <v/>
      </c>
      <c r="O582" t="s">
        <v>2133</v>
      </c>
      <c r="P582" t="s">
        <v>2134</v>
      </c>
      <c r="R582" t="s">
        <v>964</v>
      </c>
      <c r="S582" t="s">
        <v>36</v>
      </c>
      <c r="T582" t="str">
        <f>"85086"</f>
        <v>85086</v>
      </c>
      <c r="U582" t="str">
        <f>""</f>
        <v/>
      </c>
      <c r="V582" t="s">
        <v>2134</v>
      </c>
      <c r="X582" t="s">
        <v>964</v>
      </c>
      <c r="Y582" t="s">
        <v>36</v>
      </c>
      <c r="Z582" t="str">
        <f>"85086"</f>
        <v>85086</v>
      </c>
      <c r="AA582" t="str">
        <f>""</f>
        <v/>
      </c>
      <c r="AB582" t="s">
        <v>1990</v>
      </c>
    </row>
    <row r="583" spans="1:28" x14ac:dyDescent="0.25">
      <c r="A583">
        <v>4246</v>
      </c>
      <c r="B583" t="str">
        <f t="shared" si="80"/>
        <v>070297000</v>
      </c>
      <c r="C583" t="s">
        <v>1983</v>
      </c>
      <c r="D583">
        <v>88399</v>
      </c>
      <c r="E583" t="str">
        <f>"070297148"</f>
        <v>070297148</v>
      </c>
      <c r="F583" t="s">
        <v>2135</v>
      </c>
      <c r="G583" t="s">
        <v>42</v>
      </c>
      <c r="H583" t="s">
        <v>2136</v>
      </c>
      <c r="I583" t="s">
        <v>2137</v>
      </c>
      <c r="J583" t="s">
        <v>315</v>
      </c>
      <c r="K583" t="str">
        <f>"6233765214"</f>
        <v>6233765214</v>
      </c>
      <c r="L583" t="str">
        <f>""</f>
        <v/>
      </c>
      <c r="M583" t="str">
        <f>""</f>
        <v/>
      </c>
      <c r="N583" t="str">
        <f>""</f>
        <v/>
      </c>
      <c r="O583" t="s">
        <v>2138</v>
      </c>
      <c r="P583" t="s">
        <v>2139</v>
      </c>
      <c r="R583" t="s">
        <v>2096</v>
      </c>
      <c r="S583" t="s">
        <v>36</v>
      </c>
      <c r="T583" t="str">
        <f>"85086"</f>
        <v>85086</v>
      </c>
      <c r="U583" t="str">
        <f>""</f>
        <v/>
      </c>
      <c r="V583" t="s">
        <v>2139</v>
      </c>
      <c r="X583" t="s">
        <v>2096</v>
      </c>
      <c r="Y583" t="s">
        <v>36</v>
      </c>
      <c r="Z583" t="str">
        <f>"85086"</f>
        <v>85086</v>
      </c>
      <c r="AA583" t="str">
        <f>""</f>
        <v/>
      </c>
      <c r="AB583" t="s">
        <v>1990</v>
      </c>
    </row>
    <row r="584" spans="1:28" x14ac:dyDescent="0.25">
      <c r="A584">
        <v>4246</v>
      </c>
      <c r="B584" t="str">
        <f t="shared" si="80"/>
        <v>070297000</v>
      </c>
      <c r="C584" t="s">
        <v>1983</v>
      </c>
      <c r="D584">
        <v>89953</v>
      </c>
      <c r="E584" t="str">
        <f>"070297149"</f>
        <v>070297149</v>
      </c>
      <c r="F584" t="s">
        <v>2140</v>
      </c>
      <c r="G584" t="s">
        <v>42</v>
      </c>
      <c r="H584" t="s">
        <v>2141</v>
      </c>
      <c r="I584" t="s">
        <v>2142</v>
      </c>
      <c r="J584" t="s">
        <v>315</v>
      </c>
      <c r="K584" t="str">
        <f>"6234458214"</f>
        <v>6234458214</v>
      </c>
      <c r="L584" t="str">
        <f>""</f>
        <v/>
      </c>
      <c r="M584" t="str">
        <f>""</f>
        <v/>
      </c>
      <c r="N584" t="str">
        <f>""</f>
        <v/>
      </c>
      <c r="O584" t="s">
        <v>2143</v>
      </c>
      <c r="P584" t="s">
        <v>2144</v>
      </c>
      <c r="R584" t="s">
        <v>964</v>
      </c>
      <c r="S584" t="s">
        <v>36</v>
      </c>
      <c r="T584" t="str">
        <f>"85085"</f>
        <v>85085</v>
      </c>
      <c r="U584" t="str">
        <f>""</f>
        <v/>
      </c>
      <c r="V584" t="s">
        <v>2144</v>
      </c>
      <c r="X584" t="s">
        <v>964</v>
      </c>
      <c r="Y584" t="s">
        <v>36</v>
      </c>
      <c r="Z584" t="str">
        <f>"85085"</f>
        <v>85085</v>
      </c>
      <c r="AA584" t="str">
        <f>""</f>
        <v/>
      </c>
      <c r="AB584" t="s">
        <v>1990</v>
      </c>
    </row>
    <row r="585" spans="1:28" x14ac:dyDescent="0.25">
      <c r="A585">
        <v>4246</v>
      </c>
      <c r="B585" t="str">
        <f t="shared" si="80"/>
        <v>070297000</v>
      </c>
      <c r="C585" t="s">
        <v>1983</v>
      </c>
      <c r="D585">
        <v>92525</v>
      </c>
      <c r="E585" t="str">
        <f>"070297126"</f>
        <v>070297126</v>
      </c>
      <c r="F585" t="s">
        <v>2145</v>
      </c>
      <c r="G585" t="s">
        <v>42</v>
      </c>
      <c r="H585" t="s">
        <v>1639</v>
      </c>
      <c r="I585" t="s">
        <v>1992</v>
      </c>
      <c r="J585" t="s">
        <v>315</v>
      </c>
      <c r="K585" t="str">
        <f>"6234453914"</f>
        <v>6234453914</v>
      </c>
      <c r="L585" t="str">
        <f>""</f>
        <v/>
      </c>
      <c r="M585" t="str">
        <f>""</f>
        <v/>
      </c>
      <c r="N585" t="str">
        <f>""</f>
        <v/>
      </c>
      <c r="O585" t="s">
        <v>1993</v>
      </c>
      <c r="P585" t="s">
        <v>2146</v>
      </c>
      <c r="R585" t="s">
        <v>964</v>
      </c>
      <c r="S585" t="s">
        <v>36</v>
      </c>
      <c r="T585" t="str">
        <f>"85027"</f>
        <v>85027</v>
      </c>
      <c r="U585" t="str">
        <f>""</f>
        <v/>
      </c>
      <c r="V585" t="s">
        <v>2146</v>
      </c>
      <c r="X585" t="s">
        <v>964</v>
      </c>
      <c r="Y585" t="s">
        <v>36</v>
      </c>
      <c r="Z585" t="str">
        <f>"85027"</f>
        <v>85027</v>
      </c>
      <c r="AA585" t="str">
        <f>""</f>
        <v/>
      </c>
      <c r="AB585" t="s">
        <v>1990</v>
      </c>
    </row>
    <row r="586" spans="1:28" x14ac:dyDescent="0.25">
      <c r="A586">
        <v>4246</v>
      </c>
      <c r="B586" t="str">
        <f t="shared" si="80"/>
        <v>070297000</v>
      </c>
      <c r="C586" t="s">
        <v>1983</v>
      </c>
      <c r="D586">
        <v>92907</v>
      </c>
      <c r="E586" t="str">
        <f>"070297150"</f>
        <v>070297150</v>
      </c>
      <c r="F586" t="s">
        <v>2147</v>
      </c>
      <c r="G586" t="s">
        <v>42</v>
      </c>
      <c r="H586" t="s">
        <v>2141</v>
      </c>
      <c r="I586" t="s">
        <v>2142</v>
      </c>
      <c r="J586" t="s">
        <v>2148</v>
      </c>
      <c r="K586" t="str">
        <f>"6234458400"</f>
        <v>6234458400</v>
      </c>
      <c r="L586" t="str">
        <f>""</f>
        <v/>
      </c>
      <c r="M586" t="str">
        <f>""</f>
        <v/>
      </c>
      <c r="N586" t="str">
        <f>""</f>
        <v/>
      </c>
      <c r="O586" t="s">
        <v>2143</v>
      </c>
      <c r="P586" t="s">
        <v>2149</v>
      </c>
      <c r="R586" t="s">
        <v>964</v>
      </c>
      <c r="S586" t="s">
        <v>36</v>
      </c>
      <c r="T586" t="str">
        <f>"85085"</f>
        <v>85085</v>
      </c>
      <c r="U586" t="str">
        <f>""</f>
        <v/>
      </c>
      <c r="V586" t="s">
        <v>2149</v>
      </c>
      <c r="X586" t="s">
        <v>964</v>
      </c>
      <c r="Y586" t="s">
        <v>36</v>
      </c>
      <c r="Z586" t="str">
        <f>"85085"</f>
        <v>85085</v>
      </c>
      <c r="AA586" t="str">
        <f>""</f>
        <v/>
      </c>
      <c r="AB586" t="s">
        <v>1990</v>
      </c>
    </row>
    <row r="587" spans="1:28" x14ac:dyDescent="0.25">
      <c r="A587">
        <v>4247</v>
      </c>
      <c r="B587" t="str">
        <f>"070298000"</f>
        <v>070298000</v>
      </c>
      <c r="C587" t="s">
        <v>2150</v>
      </c>
      <c r="D587">
        <v>0</v>
      </c>
      <c r="E587" t="str">
        <f>""</f>
        <v/>
      </c>
      <c r="G587" t="s">
        <v>29</v>
      </c>
      <c r="H587" t="s">
        <v>1888</v>
      </c>
      <c r="I587" t="s">
        <v>443</v>
      </c>
      <c r="J587" t="s">
        <v>449</v>
      </c>
      <c r="K587" t="str">
        <f>"4806645060"</f>
        <v>4806645060</v>
      </c>
      <c r="L587" t="str">
        <f>""</f>
        <v/>
      </c>
      <c r="M587" t="str">
        <f>"4806645099"</f>
        <v>4806645099</v>
      </c>
      <c r="N587" t="str">
        <f>""</f>
        <v/>
      </c>
      <c r="O587" t="s">
        <v>2151</v>
      </c>
      <c r="P587" t="s">
        <v>2152</v>
      </c>
      <c r="R587" t="s">
        <v>2153</v>
      </c>
      <c r="S587" t="s">
        <v>36</v>
      </c>
      <c r="T587" t="str">
        <f>"85268"</f>
        <v>85268</v>
      </c>
      <c r="U587" t="str">
        <f>""</f>
        <v/>
      </c>
      <c r="V587" t="s">
        <v>2152</v>
      </c>
      <c r="X587" t="s">
        <v>2153</v>
      </c>
      <c r="Y587" t="s">
        <v>36</v>
      </c>
      <c r="Z587" t="str">
        <f>"85268"</f>
        <v>85268</v>
      </c>
      <c r="AA587" t="str">
        <f>""</f>
        <v/>
      </c>
      <c r="AB587" t="s">
        <v>265</v>
      </c>
    </row>
    <row r="588" spans="1:28" x14ac:dyDescent="0.25">
      <c r="A588">
        <v>4247</v>
      </c>
      <c r="B588" t="str">
        <f>"070298000"</f>
        <v>070298000</v>
      </c>
      <c r="C588" t="s">
        <v>2150</v>
      </c>
      <c r="D588">
        <v>5165</v>
      </c>
      <c r="E588" t="str">
        <f>"070298102"</f>
        <v>070298102</v>
      </c>
      <c r="F588" t="s">
        <v>2154</v>
      </c>
      <c r="G588" t="s">
        <v>42</v>
      </c>
      <c r="H588" t="s">
        <v>1888</v>
      </c>
      <c r="I588" t="s">
        <v>443</v>
      </c>
      <c r="J588" t="s">
        <v>449</v>
      </c>
      <c r="K588" t="str">
        <f>"4806645060"</f>
        <v>4806645060</v>
      </c>
      <c r="L588" t="str">
        <f>""</f>
        <v/>
      </c>
      <c r="M588" t="str">
        <f>"4806645099"</f>
        <v>4806645099</v>
      </c>
      <c r="N588" t="str">
        <f>""</f>
        <v/>
      </c>
      <c r="O588" t="s">
        <v>2151</v>
      </c>
      <c r="P588" t="s">
        <v>2152</v>
      </c>
      <c r="R588" t="s">
        <v>2153</v>
      </c>
      <c r="S588" t="s">
        <v>36</v>
      </c>
      <c r="T588" t="str">
        <f>"85268"</f>
        <v>85268</v>
      </c>
      <c r="U588" t="str">
        <f>""</f>
        <v/>
      </c>
      <c r="V588" t="s">
        <v>2155</v>
      </c>
      <c r="X588" t="s">
        <v>2153</v>
      </c>
      <c r="Y588" t="s">
        <v>36</v>
      </c>
      <c r="Z588" t="str">
        <f>"85268"</f>
        <v>85268</v>
      </c>
      <c r="AA588" t="str">
        <f>""</f>
        <v/>
      </c>
      <c r="AB588" t="s">
        <v>265</v>
      </c>
    </row>
    <row r="589" spans="1:28" x14ac:dyDescent="0.25">
      <c r="A589">
        <v>4247</v>
      </c>
      <c r="B589" t="str">
        <f>"070298000"</f>
        <v>070298000</v>
      </c>
      <c r="C589" t="s">
        <v>2150</v>
      </c>
      <c r="D589">
        <v>5166</v>
      </c>
      <c r="E589" t="str">
        <f>"070298104"</f>
        <v>070298104</v>
      </c>
      <c r="F589" t="s">
        <v>2156</v>
      </c>
      <c r="G589" t="s">
        <v>42</v>
      </c>
      <c r="H589" t="s">
        <v>1888</v>
      </c>
      <c r="I589" t="s">
        <v>443</v>
      </c>
      <c r="J589" t="s">
        <v>449</v>
      </c>
      <c r="K589" t="str">
        <f>"4806645060"</f>
        <v>4806645060</v>
      </c>
      <c r="L589" t="str">
        <f>""</f>
        <v/>
      </c>
      <c r="M589" t="str">
        <f>"4806645099"</f>
        <v>4806645099</v>
      </c>
      <c r="N589" t="str">
        <f>""</f>
        <v/>
      </c>
      <c r="O589" t="s">
        <v>2151</v>
      </c>
      <c r="P589" t="s">
        <v>2157</v>
      </c>
      <c r="R589" t="s">
        <v>2153</v>
      </c>
      <c r="S589" t="s">
        <v>36</v>
      </c>
      <c r="T589" t="str">
        <f>"85268"</f>
        <v>85268</v>
      </c>
      <c r="U589" t="str">
        <f>""</f>
        <v/>
      </c>
      <c r="V589" t="s">
        <v>2158</v>
      </c>
      <c r="X589" t="s">
        <v>2153</v>
      </c>
      <c r="Y589" t="s">
        <v>36</v>
      </c>
      <c r="Z589" t="str">
        <f>"85268"</f>
        <v>85268</v>
      </c>
      <c r="AA589" t="str">
        <f>""</f>
        <v/>
      </c>
      <c r="AB589" t="s">
        <v>265</v>
      </c>
    </row>
    <row r="590" spans="1:28" x14ac:dyDescent="0.25">
      <c r="A590">
        <v>4247</v>
      </c>
      <c r="B590" t="str">
        <f>"070298000"</f>
        <v>070298000</v>
      </c>
      <c r="C590" t="s">
        <v>2150</v>
      </c>
      <c r="D590">
        <v>5167</v>
      </c>
      <c r="E590" t="str">
        <f>"070298205"</f>
        <v>070298205</v>
      </c>
      <c r="F590" t="s">
        <v>2159</v>
      </c>
      <c r="G590" t="s">
        <v>42</v>
      </c>
      <c r="H590" t="s">
        <v>1888</v>
      </c>
      <c r="I590" t="s">
        <v>443</v>
      </c>
      <c r="J590" t="s">
        <v>449</v>
      </c>
      <c r="K590" t="str">
        <f>"4806645060"</f>
        <v>4806645060</v>
      </c>
      <c r="L590" t="str">
        <f>""</f>
        <v/>
      </c>
      <c r="M590" t="str">
        <f>"4806645099"</f>
        <v>4806645099</v>
      </c>
      <c r="N590" t="str">
        <f>""</f>
        <v/>
      </c>
      <c r="O590" t="s">
        <v>2151</v>
      </c>
      <c r="P590" t="s">
        <v>2152</v>
      </c>
      <c r="R590" t="s">
        <v>2153</v>
      </c>
      <c r="S590" t="s">
        <v>36</v>
      </c>
      <c r="T590" t="str">
        <f>"85268"</f>
        <v>85268</v>
      </c>
      <c r="U590" t="str">
        <f>""</f>
        <v/>
      </c>
      <c r="V590" t="s">
        <v>2160</v>
      </c>
      <c r="X590" t="s">
        <v>2153</v>
      </c>
      <c r="Y590" t="s">
        <v>36</v>
      </c>
      <c r="Z590" t="str">
        <f>"85268"</f>
        <v>85268</v>
      </c>
      <c r="AA590" t="str">
        <f>""</f>
        <v/>
      </c>
      <c r="AB590" t="s">
        <v>265</v>
      </c>
    </row>
    <row r="591" spans="1:28" x14ac:dyDescent="0.25">
      <c r="A591">
        <v>4248</v>
      </c>
      <c r="B591" t="str">
        <f t="shared" ref="B591:B606" si="83">"070260000"</f>
        <v>070260000</v>
      </c>
      <c r="C591" t="s">
        <v>2161</v>
      </c>
      <c r="D591">
        <v>0</v>
      </c>
      <c r="E591" t="str">
        <f>""</f>
        <v/>
      </c>
      <c r="G591" t="s">
        <v>29</v>
      </c>
      <c r="H591" t="s">
        <v>834</v>
      </c>
      <c r="I591" t="s">
        <v>2162</v>
      </c>
      <c r="J591" t="s">
        <v>2163</v>
      </c>
      <c r="K591" t="str">
        <f>"4802797142"</f>
        <v>4802797142</v>
      </c>
      <c r="L591" t="str">
        <f>""</f>
        <v/>
      </c>
      <c r="M591" t="str">
        <f t="shared" ref="M591:M606" si="84">"4802797542"</f>
        <v>4802797542</v>
      </c>
      <c r="N591" t="str">
        <f>""</f>
        <v/>
      </c>
      <c r="O591" t="s">
        <v>2164</v>
      </c>
      <c r="P591" t="s">
        <v>2165</v>
      </c>
      <c r="Q591" t="s">
        <v>2166</v>
      </c>
      <c r="R591" t="s">
        <v>1275</v>
      </c>
      <c r="S591" t="s">
        <v>36</v>
      </c>
      <c r="T591" t="str">
        <f t="shared" ref="T591:T606" si="85">"85295"</f>
        <v>85295</v>
      </c>
      <c r="U591" t="str">
        <f>""</f>
        <v/>
      </c>
      <c r="V591" t="s">
        <v>2165</v>
      </c>
      <c r="W591" t="s">
        <v>2166</v>
      </c>
      <c r="X591" t="s">
        <v>1275</v>
      </c>
      <c r="Y591" t="s">
        <v>36</v>
      </c>
      <c r="Z591" t="str">
        <f>"85295"</f>
        <v>85295</v>
      </c>
      <c r="AA591" t="str">
        <f>""</f>
        <v/>
      </c>
      <c r="AB591" t="s">
        <v>1466</v>
      </c>
    </row>
    <row r="592" spans="1:28" x14ac:dyDescent="0.25">
      <c r="A592">
        <v>4248</v>
      </c>
      <c r="B592" t="str">
        <f t="shared" si="83"/>
        <v>070260000</v>
      </c>
      <c r="C592" t="s">
        <v>2161</v>
      </c>
      <c r="D592">
        <v>5168</v>
      </c>
      <c r="E592" t="str">
        <f>"070260101"</f>
        <v>070260101</v>
      </c>
      <c r="F592" t="s">
        <v>2167</v>
      </c>
      <c r="G592" t="s">
        <v>42</v>
      </c>
      <c r="H592" t="s">
        <v>2168</v>
      </c>
      <c r="I592" t="s">
        <v>2169</v>
      </c>
      <c r="J592" t="s">
        <v>2170</v>
      </c>
      <c r="K592" t="str">
        <f>"4802796820"</f>
        <v>4802796820</v>
      </c>
      <c r="L592" t="str">
        <f>""</f>
        <v/>
      </c>
      <c r="M592" t="str">
        <f t="shared" si="84"/>
        <v>4802797542</v>
      </c>
      <c r="N592" t="str">
        <f>""</f>
        <v/>
      </c>
      <c r="O592" t="s">
        <v>2171</v>
      </c>
      <c r="P592" t="s">
        <v>2165</v>
      </c>
      <c r="Q592" t="s">
        <v>2172</v>
      </c>
      <c r="R592" t="s">
        <v>1275</v>
      </c>
      <c r="S592" t="s">
        <v>36</v>
      </c>
      <c r="T592" t="str">
        <f t="shared" si="85"/>
        <v>85295</v>
      </c>
      <c r="U592" t="str">
        <f>""</f>
        <v/>
      </c>
      <c r="V592" t="s">
        <v>2173</v>
      </c>
      <c r="X592" t="s">
        <v>1275</v>
      </c>
      <c r="Y592" t="s">
        <v>36</v>
      </c>
      <c r="Z592" t="str">
        <f>"85295"</f>
        <v>85295</v>
      </c>
      <c r="AA592" t="str">
        <f>""</f>
        <v/>
      </c>
      <c r="AB592" t="s">
        <v>1466</v>
      </c>
    </row>
    <row r="593" spans="1:28" x14ac:dyDescent="0.25">
      <c r="A593">
        <v>4248</v>
      </c>
      <c r="B593" t="str">
        <f t="shared" si="83"/>
        <v>070260000</v>
      </c>
      <c r="C593" t="s">
        <v>2161</v>
      </c>
      <c r="D593">
        <v>79227</v>
      </c>
      <c r="E593" t="str">
        <f>"070260102"</f>
        <v>070260102</v>
      </c>
      <c r="F593" t="s">
        <v>41</v>
      </c>
      <c r="G593" t="s">
        <v>42</v>
      </c>
      <c r="H593" t="s">
        <v>1595</v>
      </c>
      <c r="I593" t="s">
        <v>2174</v>
      </c>
      <c r="J593" t="s">
        <v>2170</v>
      </c>
      <c r="K593" t="str">
        <f>"4802796920"</f>
        <v>4802796920</v>
      </c>
      <c r="L593" t="str">
        <f>""</f>
        <v/>
      </c>
      <c r="M593" t="str">
        <f t="shared" si="84"/>
        <v>4802797542</v>
      </c>
      <c r="N593" t="str">
        <f>""</f>
        <v/>
      </c>
      <c r="O593" t="s">
        <v>2175</v>
      </c>
      <c r="P593" t="s">
        <v>2165</v>
      </c>
      <c r="Q593" t="s">
        <v>2172</v>
      </c>
      <c r="R593" t="s">
        <v>1275</v>
      </c>
      <c r="S593" t="s">
        <v>36</v>
      </c>
      <c r="T593" t="str">
        <f t="shared" si="85"/>
        <v>85295</v>
      </c>
      <c r="U593" t="str">
        <f>""</f>
        <v/>
      </c>
      <c r="V593" t="s">
        <v>2176</v>
      </c>
      <c r="X593" t="s">
        <v>1275</v>
      </c>
      <c r="Y593" t="s">
        <v>36</v>
      </c>
      <c r="Z593" t="str">
        <f>"85297"</f>
        <v>85297</v>
      </c>
      <c r="AA593" t="str">
        <f>""</f>
        <v/>
      </c>
      <c r="AB593" t="s">
        <v>1466</v>
      </c>
    </row>
    <row r="594" spans="1:28" x14ac:dyDescent="0.25">
      <c r="A594">
        <v>4248</v>
      </c>
      <c r="B594" t="str">
        <f t="shared" si="83"/>
        <v>070260000</v>
      </c>
      <c r="C594" t="s">
        <v>2161</v>
      </c>
      <c r="D594">
        <v>79374</v>
      </c>
      <c r="E594" t="str">
        <f>"070260201"</f>
        <v>070260201</v>
      </c>
      <c r="F594" t="s">
        <v>2177</v>
      </c>
      <c r="G594" t="s">
        <v>42</v>
      </c>
      <c r="H594" t="s">
        <v>794</v>
      </c>
      <c r="I594" t="s">
        <v>2178</v>
      </c>
      <c r="J594" t="s">
        <v>2170</v>
      </c>
      <c r="K594" t="str">
        <f>"4802797320"</f>
        <v>4802797320</v>
      </c>
      <c r="L594" t="str">
        <f>""</f>
        <v/>
      </c>
      <c r="M594" t="str">
        <f t="shared" si="84"/>
        <v>4802797542</v>
      </c>
      <c r="N594" t="str">
        <f>""</f>
        <v/>
      </c>
      <c r="O594" t="s">
        <v>2179</v>
      </c>
      <c r="P594" t="s">
        <v>2165</v>
      </c>
      <c r="Q594" t="s">
        <v>2172</v>
      </c>
      <c r="R594" t="s">
        <v>1275</v>
      </c>
      <c r="S594" t="s">
        <v>36</v>
      </c>
      <c r="T594" t="str">
        <f t="shared" si="85"/>
        <v>85295</v>
      </c>
      <c r="U594" t="str">
        <f>""</f>
        <v/>
      </c>
      <c r="V594" t="s">
        <v>2180</v>
      </c>
      <c r="X594" t="s">
        <v>1275</v>
      </c>
      <c r="Y594" t="s">
        <v>36</v>
      </c>
      <c r="Z594" t="str">
        <f>"85295"</f>
        <v>85295</v>
      </c>
      <c r="AA594" t="str">
        <f>""</f>
        <v/>
      </c>
      <c r="AB594" t="s">
        <v>1466</v>
      </c>
    </row>
    <row r="595" spans="1:28" x14ac:dyDescent="0.25">
      <c r="A595">
        <v>4248</v>
      </c>
      <c r="B595" t="str">
        <f t="shared" si="83"/>
        <v>070260000</v>
      </c>
      <c r="C595" t="s">
        <v>2161</v>
      </c>
      <c r="D595">
        <v>79375</v>
      </c>
      <c r="E595" t="str">
        <f>"070260103"</f>
        <v>070260103</v>
      </c>
      <c r="F595" t="s">
        <v>2181</v>
      </c>
      <c r="G595" t="s">
        <v>42</v>
      </c>
      <c r="H595" t="s">
        <v>2182</v>
      </c>
      <c r="I595" t="s">
        <v>2183</v>
      </c>
      <c r="J595" t="s">
        <v>2170</v>
      </c>
      <c r="K595" t="str">
        <f>"4802797220"</f>
        <v>4802797220</v>
      </c>
      <c r="L595" t="str">
        <f>""</f>
        <v/>
      </c>
      <c r="M595" t="str">
        <f t="shared" si="84"/>
        <v>4802797542</v>
      </c>
      <c r="N595" t="str">
        <f>""</f>
        <v/>
      </c>
      <c r="O595" t="s">
        <v>2184</v>
      </c>
      <c r="P595" t="s">
        <v>2165</v>
      </c>
      <c r="Q595" t="s">
        <v>2172</v>
      </c>
      <c r="R595" t="s">
        <v>1275</v>
      </c>
      <c r="S595" t="s">
        <v>36</v>
      </c>
      <c r="T595" t="str">
        <f t="shared" si="85"/>
        <v>85295</v>
      </c>
      <c r="U595" t="str">
        <f>""</f>
        <v/>
      </c>
      <c r="V595" t="s">
        <v>2185</v>
      </c>
      <c r="X595" t="s">
        <v>1275</v>
      </c>
      <c r="Y595" t="s">
        <v>36</v>
      </c>
      <c r="Z595" t="str">
        <f>"85297"</f>
        <v>85297</v>
      </c>
      <c r="AA595" t="str">
        <f>""</f>
        <v/>
      </c>
      <c r="AB595" t="s">
        <v>1466</v>
      </c>
    </row>
    <row r="596" spans="1:28" x14ac:dyDescent="0.25">
      <c r="A596">
        <v>4248</v>
      </c>
      <c r="B596" t="str">
        <f t="shared" si="83"/>
        <v>070260000</v>
      </c>
      <c r="C596" t="s">
        <v>2161</v>
      </c>
      <c r="D596">
        <v>80316</v>
      </c>
      <c r="E596" t="str">
        <f>"070260104"</f>
        <v>070260104</v>
      </c>
      <c r="F596" t="s">
        <v>2186</v>
      </c>
      <c r="G596" t="s">
        <v>42</v>
      </c>
      <c r="H596" t="s">
        <v>1380</v>
      </c>
      <c r="I596" t="s">
        <v>925</v>
      </c>
      <c r="J596" t="s">
        <v>195</v>
      </c>
      <c r="K596" t="str">
        <f>"4802797620"</f>
        <v>4802797620</v>
      </c>
      <c r="L596" t="str">
        <f>""</f>
        <v/>
      </c>
      <c r="M596" t="str">
        <f t="shared" si="84"/>
        <v>4802797542</v>
      </c>
      <c r="N596" t="str">
        <f>""</f>
        <v/>
      </c>
      <c r="O596" t="s">
        <v>2187</v>
      </c>
      <c r="P596" t="s">
        <v>2165</v>
      </c>
      <c r="Q596" t="s">
        <v>2172</v>
      </c>
      <c r="R596" t="s">
        <v>1275</v>
      </c>
      <c r="S596" t="s">
        <v>36</v>
      </c>
      <c r="T596" t="str">
        <f t="shared" si="85"/>
        <v>85295</v>
      </c>
      <c r="U596" t="str">
        <f>""</f>
        <v/>
      </c>
      <c r="V596" t="s">
        <v>2188</v>
      </c>
      <c r="X596" t="s">
        <v>1275</v>
      </c>
      <c r="Y596" t="s">
        <v>36</v>
      </c>
      <c r="Z596" t="str">
        <f>"85297"</f>
        <v>85297</v>
      </c>
      <c r="AA596" t="str">
        <f>""</f>
        <v/>
      </c>
      <c r="AB596" t="s">
        <v>1466</v>
      </c>
    </row>
    <row r="597" spans="1:28" x14ac:dyDescent="0.25">
      <c r="A597">
        <v>4248</v>
      </c>
      <c r="B597" t="str">
        <f t="shared" si="83"/>
        <v>070260000</v>
      </c>
      <c r="C597" t="s">
        <v>2161</v>
      </c>
      <c r="D597">
        <v>87487</v>
      </c>
      <c r="E597" t="str">
        <f>"070260105"</f>
        <v>070260105</v>
      </c>
      <c r="F597" t="s">
        <v>2189</v>
      </c>
      <c r="G597" t="s">
        <v>42</v>
      </c>
      <c r="H597" t="s">
        <v>2190</v>
      </c>
      <c r="I597" t="s">
        <v>2191</v>
      </c>
      <c r="J597" t="s">
        <v>2170</v>
      </c>
      <c r="K597" t="str">
        <f>"4802797720"</f>
        <v>4802797720</v>
      </c>
      <c r="L597" t="str">
        <f>""</f>
        <v/>
      </c>
      <c r="M597" t="str">
        <f t="shared" si="84"/>
        <v>4802797542</v>
      </c>
      <c r="N597" t="str">
        <f>""</f>
        <v/>
      </c>
      <c r="O597" t="s">
        <v>2192</v>
      </c>
      <c r="P597" t="s">
        <v>2165</v>
      </c>
      <c r="Q597" t="s">
        <v>2172</v>
      </c>
      <c r="R597" t="s">
        <v>2193</v>
      </c>
      <c r="S597" t="s">
        <v>36</v>
      </c>
      <c r="T597" t="str">
        <f t="shared" si="85"/>
        <v>85295</v>
      </c>
      <c r="U597" t="str">
        <f>""</f>
        <v/>
      </c>
      <c r="V597" t="s">
        <v>2194</v>
      </c>
      <c r="X597" t="s">
        <v>1275</v>
      </c>
      <c r="Y597" t="s">
        <v>36</v>
      </c>
      <c r="Z597" t="str">
        <f>"85295"</f>
        <v>85295</v>
      </c>
      <c r="AA597" t="str">
        <f>""</f>
        <v/>
      </c>
      <c r="AB597" t="s">
        <v>1466</v>
      </c>
    </row>
    <row r="598" spans="1:28" x14ac:dyDescent="0.25">
      <c r="A598">
        <v>4248</v>
      </c>
      <c r="B598" t="str">
        <f t="shared" si="83"/>
        <v>070260000</v>
      </c>
      <c r="C598" t="s">
        <v>2161</v>
      </c>
      <c r="D598">
        <v>88422</v>
      </c>
      <c r="E598" t="str">
        <f>"070260106"</f>
        <v>070260106</v>
      </c>
      <c r="F598" t="s">
        <v>2195</v>
      </c>
      <c r="G598" t="s">
        <v>42</v>
      </c>
      <c r="H598" t="s">
        <v>1561</v>
      </c>
      <c r="I598" t="s">
        <v>2196</v>
      </c>
      <c r="J598" t="s">
        <v>2170</v>
      </c>
      <c r="K598" t="str">
        <f>"4802797142"</f>
        <v>4802797142</v>
      </c>
      <c r="L598" t="str">
        <f>""</f>
        <v/>
      </c>
      <c r="M598" t="str">
        <f t="shared" si="84"/>
        <v>4802797542</v>
      </c>
      <c r="N598" t="str">
        <f>""</f>
        <v/>
      </c>
      <c r="O598" t="s">
        <v>2197</v>
      </c>
      <c r="P598" t="s">
        <v>2165</v>
      </c>
      <c r="Q598" t="s">
        <v>2172</v>
      </c>
      <c r="R598" t="s">
        <v>1275</v>
      </c>
      <c r="S598" t="s">
        <v>36</v>
      </c>
      <c r="T598" t="str">
        <f t="shared" si="85"/>
        <v>85295</v>
      </c>
      <c r="U598" t="str">
        <f>""</f>
        <v/>
      </c>
      <c r="V598" t="s">
        <v>2198</v>
      </c>
      <c r="X598" t="s">
        <v>1772</v>
      </c>
      <c r="Y598" t="s">
        <v>36</v>
      </c>
      <c r="Z598" t="str">
        <f>"85142"</f>
        <v>85142</v>
      </c>
      <c r="AA598" t="str">
        <f>""</f>
        <v/>
      </c>
      <c r="AB598" t="s">
        <v>1466</v>
      </c>
    </row>
    <row r="599" spans="1:28" x14ac:dyDescent="0.25">
      <c r="A599">
        <v>4248</v>
      </c>
      <c r="B599" t="str">
        <f t="shared" si="83"/>
        <v>070260000</v>
      </c>
      <c r="C599" t="s">
        <v>2161</v>
      </c>
      <c r="D599">
        <v>89580</v>
      </c>
      <c r="E599" t="str">
        <f>"070260107"</f>
        <v>070260107</v>
      </c>
      <c r="F599" t="s">
        <v>2199</v>
      </c>
      <c r="G599" t="s">
        <v>42</v>
      </c>
      <c r="H599" t="s">
        <v>2200</v>
      </c>
      <c r="I599" t="s">
        <v>771</v>
      </c>
      <c r="J599" t="s">
        <v>2201</v>
      </c>
      <c r="K599" t="str">
        <f>"4802797920"</f>
        <v>4802797920</v>
      </c>
      <c r="L599" t="str">
        <f>""</f>
        <v/>
      </c>
      <c r="M599" t="str">
        <f t="shared" si="84"/>
        <v>4802797542</v>
      </c>
      <c r="N599" t="str">
        <f>""</f>
        <v/>
      </c>
      <c r="O599" t="s">
        <v>2202</v>
      </c>
      <c r="P599" t="s">
        <v>2165</v>
      </c>
      <c r="Q599" t="s">
        <v>2172</v>
      </c>
      <c r="R599" t="s">
        <v>1275</v>
      </c>
      <c r="S599" t="s">
        <v>36</v>
      </c>
      <c r="T599" t="str">
        <f t="shared" si="85"/>
        <v>85295</v>
      </c>
      <c r="U599" t="str">
        <f>""</f>
        <v/>
      </c>
      <c r="V599" t="s">
        <v>2203</v>
      </c>
      <c r="X599" t="s">
        <v>1275</v>
      </c>
      <c r="Y599" t="s">
        <v>36</v>
      </c>
      <c r="Z599" t="str">
        <f>"85295"</f>
        <v>85295</v>
      </c>
      <c r="AA599" t="str">
        <f>""</f>
        <v/>
      </c>
      <c r="AB599" t="s">
        <v>1466</v>
      </c>
    </row>
    <row r="600" spans="1:28" x14ac:dyDescent="0.25">
      <c r="A600">
        <v>4248</v>
      </c>
      <c r="B600" t="str">
        <f t="shared" si="83"/>
        <v>070260000</v>
      </c>
      <c r="C600" t="s">
        <v>2161</v>
      </c>
      <c r="D600">
        <v>89581</v>
      </c>
      <c r="E600" t="str">
        <f>"070260202"</f>
        <v>070260202</v>
      </c>
      <c r="F600" t="s">
        <v>2204</v>
      </c>
      <c r="G600" t="s">
        <v>42</v>
      </c>
      <c r="H600" t="s">
        <v>1452</v>
      </c>
      <c r="I600" t="s">
        <v>2205</v>
      </c>
      <c r="J600" t="s">
        <v>2170</v>
      </c>
      <c r="K600" t="str">
        <f>"4802798020"</f>
        <v>4802798020</v>
      </c>
      <c r="L600" t="str">
        <f>""</f>
        <v/>
      </c>
      <c r="M600" t="str">
        <f t="shared" si="84"/>
        <v>4802797542</v>
      </c>
      <c r="N600" t="str">
        <f>""</f>
        <v/>
      </c>
      <c r="O600" t="s">
        <v>2206</v>
      </c>
      <c r="P600" t="s">
        <v>2165</v>
      </c>
      <c r="Q600" t="s">
        <v>2172</v>
      </c>
      <c r="R600" t="s">
        <v>1275</v>
      </c>
      <c r="S600" t="s">
        <v>36</v>
      </c>
      <c r="T600" t="str">
        <f t="shared" si="85"/>
        <v>85295</v>
      </c>
      <c r="U600" t="str">
        <f>""</f>
        <v/>
      </c>
      <c r="V600" t="s">
        <v>2207</v>
      </c>
      <c r="X600" t="s">
        <v>1275</v>
      </c>
      <c r="Y600" t="s">
        <v>36</v>
      </c>
      <c r="Z600" t="str">
        <f>"85295"</f>
        <v>85295</v>
      </c>
      <c r="AA600" t="str">
        <f>""</f>
        <v/>
      </c>
      <c r="AB600" t="s">
        <v>1466</v>
      </c>
    </row>
    <row r="601" spans="1:28" x14ac:dyDescent="0.25">
      <c r="A601">
        <v>4248</v>
      </c>
      <c r="B601" t="str">
        <f t="shared" si="83"/>
        <v>070260000</v>
      </c>
      <c r="C601" t="s">
        <v>2161</v>
      </c>
      <c r="D601">
        <v>90315</v>
      </c>
      <c r="E601" t="str">
        <f>"070260108"</f>
        <v>070260108</v>
      </c>
      <c r="F601" t="s">
        <v>2208</v>
      </c>
      <c r="G601" t="s">
        <v>42</v>
      </c>
      <c r="H601" t="s">
        <v>1808</v>
      </c>
      <c r="I601" t="s">
        <v>443</v>
      </c>
      <c r="J601" t="s">
        <v>2209</v>
      </c>
      <c r="K601" t="str">
        <f>"4802798220"</f>
        <v>4802798220</v>
      </c>
      <c r="L601" t="str">
        <f>""</f>
        <v/>
      </c>
      <c r="M601" t="str">
        <f t="shared" si="84"/>
        <v>4802797542</v>
      </c>
      <c r="N601" t="str">
        <f>""</f>
        <v/>
      </c>
      <c r="O601" t="s">
        <v>2210</v>
      </c>
      <c r="P601" t="s">
        <v>2165</v>
      </c>
      <c r="Q601" t="s">
        <v>2172</v>
      </c>
      <c r="R601" t="s">
        <v>1275</v>
      </c>
      <c r="S601" t="s">
        <v>36</v>
      </c>
      <c r="T601" t="str">
        <f t="shared" si="85"/>
        <v>85295</v>
      </c>
      <c r="U601" t="str">
        <f>""</f>
        <v/>
      </c>
      <c r="V601" t="s">
        <v>2211</v>
      </c>
      <c r="X601" t="s">
        <v>1275</v>
      </c>
      <c r="Y601" t="s">
        <v>36</v>
      </c>
      <c r="Z601" t="str">
        <f>"85297"</f>
        <v>85297</v>
      </c>
      <c r="AA601" t="str">
        <f>""</f>
        <v/>
      </c>
      <c r="AB601" t="s">
        <v>1466</v>
      </c>
    </row>
    <row r="602" spans="1:28" x14ac:dyDescent="0.25">
      <c r="A602">
        <v>4248</v>
      </c>
      <c r="B602" t="str">
        <f t="shared" si="83"/>
        <v>070260000</v>
      </c>
      <c r="C602" t="s">
        <v>2161</v>
      </c>
      <c r="D602">
        <v>92252</v>
      </c>
      <c r="E602" t="str">
        <f>"070260121"</f>
        <v>070260121</v>
      </c>
      <c r="F602" t="s">
        <v>2212</v>
      </c>
      <c r="G602" t="s">
        <v>42</v>
      </c>
      <c r="H602" t="s">
        <v>1603</v>
      </c>
      <c r="I602" t="s">
        <v>2213</v>
      </c>
      <c r="J602" t="s">
        <v>2170</v>
      </c>
      <c r="K602" t="str">
        <f>"4802798320"</f>
        <v>4802798320</v>
      </c>
      <c r="L602" t="str">
        <f>""</f>
        <v/>
      </c>
      <c r="M602" t="str">
        <f t="shared" si="84"/>
        <v>4802797542</v>
      </c>
      <c r="N602" t="str">
        <f>""</f>
        <v/>
      </c>
      <c r="O602" t="s">
        <v>2214</v>
      </c>
      <c r="P602" t="s">
        <v>2165</v>
      </c>
      <c r="Q602" t="s">
        <v>2215</v>
      </c>
      <c r="R602" t="s">
        <v>1275</v>
      </c>
      <c r="S602" t="s">
        <v>36</v>
      </c>
      <c r="T602" t="str">
        <f t="shared" si="85"/>
        <v>85295</v>
      </c>
      <c r="U602" t="str">
        <f>""</f>
        <v/>
      </c>
      <c r="V602" t="s">
        <v>2216</v>
      </c>
      <c r="X602" t="s">
        <v>1275</v>
      </c>
      <c r="Y602" t="s">
        <v>36</v>
      </c>
      <c r="Z602" t="str">
        <f>"85296"</f>
        <v>85296</v>
      </c>
      <c r="AA602" t="str">
        <f>""</f>
        <v/>
      </c>
      <c r="AB602" t="s">
        <v>1466</v>
      </c>
    </row>
    <row r="603" spans="1:28" x14ac:dyDescent="0.25">
      <c r="A603">
        <v>4248</v>
      </c>
      <c r="B603" t="str">
        <f t="shared" si="83"/>
        <v>070260000</v>
      </c>
      <c r="C603" t="s">
        <v>2161</v>
      </c>
      <c r="D603">
        <v>92259</v>
      </c>
      <c r="E603" t="str">
        <f>"070260150"</f>
        <v>070260150</v>
      </c>
      <c r="F603" t="s">
        <v>2217</v>
      </c>
      <c r="G603" t="s">
        <v>42</v>
      </c>
      <c r="H603" t="s">
        <v>1603</v>
      </c>
      <c r="I603" t="s">
        <v>2213</v>
      </c>
      <c r="J603" t="s">
        <v>2170</v>
      </c>
      <c r="K603" t="str">
        <f>"4802798320"</f>
        <v>4802798320</v>
      </c>
      <c r="L603" t="str">
        <f>""</f>
        <v/>
      </c>
      <c r="M603" t="str">
        <f t="shared" si="84"/>
        <v>4802797542</v>
      </c>
      <c r="N603" t="str">
        <f>""</f>
        <v/>
      </c>
      <c r="O603" t="s">
        <v>2214</v>
      </c>
      <c r="P603" t="s">
        <v>2165</v>
      </c>
      <c r="Q603" t="s">
        <v>2172</v>
      </c>
      <c r="R603" t="s">
        <v>1275</v>
      </c>
      <c r="S603" t="s">
        <v>36</v>
      </c>
      <c r="T603" t="str">
        <f t="shared" si="85"/>
        <v>85295</v>
      </c>
      <c r="U603" t="str">
        <f>""</f>
        <v/>
      </c>
      <c r="V603" t="s">
        <v>2218</v>
      </c>
      <c r="X603" t="s">
        <v>1275</v>
      </c>
      <c r="Y603" t="s">
        <v>36</v>
      </c>
      <c r="Z603" t="str">
        <f>"85296"</f>
        <v>85296</v>
      </c>
      <c r="AA603" t="str">
        <f>""</f>
        <v/>
      </c>
      <c r="AB603" t="s">
        <v>1466</v>
      </c>
    </row>
    <row r="604" spans="1:28" x14ac:dyDescent="0.25">
      <c r="A604">
        <v>4248</v>
      </c>
      <c r="B604" t="str">
        <f t="shared" si="83"/>
        <v>070260000</v>
      </c>
      <c r="C604" t="s">
        <v>2161</v>
      </c>
      <c r="D604">
        <v>92260</v>
      </c>
      <c r="E604" t="str">
        <f>"070260151"</f>
        <v>070260151</v>
      </c>
      <c r="F604" t="s">
        <v>2219</v>
      </c>
      <c r="G604" t="s">
        <v>42</v>
      </c>
      <c r="H604" t="s">
        <v>2220</v>
      </c>
      <c r="I604" t="s">
        <v>2221</v>
      </c>
      <c r="J604" t="s">
        <v>2170</v>
      </c>
      <c r="K604" t="str">
        <f>"4802798520"</f>
        <v>4802798520</v>
      </c>
      <c r="L604" t="str">
        <f>""</f>
        <v/>
      </c>
      <c r="M604" t="str">
        <f t="shared" si="84"/>
        <v>4802797542</v>
      </c>
      <c r="N604" t="str">
        <f>""</f>
        <v/>
      </c>
      <c r="O604" t="s">
        <v>2222</v>
      </c>
      <c r="P604" t="s">
        <v>2165</v>
      </c>
      <c r="Q604" t="s">
        <v>2172</v>
      </c>
      <c r="R604" t="s">
        <v>1772</v>
      </c>
      <c r="S604" t="s">
        <v>36</v>
      </c>
      <c r="T604" t="str">
        <f t="shared" si="85"/>
        <v>85295</v>
      </c>
      <c r="U604" t="str">
        <f>""</f>
        <v/>
      </c>
      <c r="V604" t="s">
        <v>2223</v>
      </c>
      <c r="X604" t="s">
        <v>1772</v>
      </c>
      <c r="Y604" t="s">
        <v>36</v>
      </c>
      <c r="Z604" t="str">
        <f>"85142"</f>
        <v>85142</v>
      </c>
      <c r="AA604" t="str">
        <f>""</f>
        <v/>
      </c>
      <c r="AB604" t="s">
        <v>1466</v>
      </c>
    </row>
    <row r="605" spans="1:28" x14ac:dyDescent="0.25">
      <c r="A605">
        <v>4248</v>
      </c>
      <c r="B605" t="str">
        <f t="shared" si="83"/>
        <v>070260000</v>
      </c>
      <c r="C605" t="s">
        <v>2161</v>
      </c>
      <c r="D605">
        <v>92264</v>
      </c>
      <c r="E605" t="str">
        <f>"070260122"</f>
        <v>070260122</v>
      </c>
      <c r="F605" t="s">
        <v>2224</v>
      </c>
      <c r="G605" t="s">
        <v>42</v>
      </c>
      <c r="H605" t="s">
        <v>2220</v>
      </c>
      <c r="I605" t="s">
        <v>2221</v>
      </c>
      <c r="J605" t="s">
        <v>2170</v>
      </c>
      <c r="K605" t="str">
        <f>"4802798520"</f>
        <v>4802798520</v>
      </c>
      <c r="L605" t="str">
        <f>""</f>
        <v/>
      </c>
      <c r="M605" t="str">
        <f t="shared" si="84"/>
        <v>4802797542</v>
      </c>
      <c r="N605" t="str">
        <f>""</f>
        <v/>
      </c>
      <c r="O605" t="s">
        <v>2222</v>
      </c>
      <c r="P605" t="s">
        <v>2165</v>
      </c>
      <c r="Q605" t="s">
        <v>2172</v>
      </c>
      <c r="R605" t="s">
        <v>1275</v>
      </c>
      <c r="S605" t="s">
        <v>36</v>
      </c>
      <c r="T605" t="str">
        <f t="shared" si="85"/>
        <v>85295</v>
      </c>
      <c r="U605" t="str">
        <f>""</f>
        <v/>
      </c>
      <c r="V605" t="s">
        <v>2223</v>
      </c>
      <c r="X605" t="s">
        <v>1772</v>
      </c>
      <c r="Y605" t="s">
        <v>36</v>
      </c>
      <c r="Z605" t="str">
        <f>"85142"</f>
        <v>85142</v>
      </c>
      <c r="AA605" t="str">
        <f>""</f>
        <v/>
      </c>
      <c r="AB605" t="s">
        <v>1466</v>
      </c>
    </row>
    <row r="606" spans="1:28" x14ac:dyDescent="0.25">
      <c r="A606">
        <v>4248</v>
      </c>
      <c r="B606" t="str">
        <f t="shared" si="83"/>
        <v>070260000</v>
      </c>
      <c r="C606" t="s">
        <v>2161</v>
      </c>
      <c r="D606">
        <v>93009</v>
      </c>
      <c r="E606" t="str">
        <f>"070260112"</f>
        <v>070260112</v>
      </c>
      <c r="F606" t="s">
        <v>2225</v>
      </c>
      <c r="G606" t="s">
        <v>42</v>
      </c>
      <c r="H606" t="s">
        <v>2226</v>
      </c>
      <c r="I606" t="s">
        <v>1590</v>
      </c>
      <c r="J606" t="s">
        <v>520</v>
      </c>
      <c r="K606" t="str">
        <f>"4802798720"</f>
        <v>4802798720</v>
      </c>
      <c r="L606" t="str">
        <f>""</f>
        <v/>
      </c>
      <c r="M606" t="str">
        <f t="shared" si="84"/>
        <v>4802797542</v>
      </c>
      <c r="N606" t="str">
        <f>""</f>
        <v/>
      </c>
      <c r="O606" t="s">
        <v>2227</v>
      </c>
      <c r="P606" t="s">
        <v>2165</v>
      </c>
      <c r="Q606" t="s">
        <v>2172</v>
      </c>
      <c r="R606" t="s">
        <v>1275</v>
      </c>
      <c r="S606" t="s">
        <v>36</v>
      </c>
      <c r="T606" t="str">
        <f t="shared" si="85"/>
        <v>85295</v>
      </c>
      <c r="U606" t="str">
        <f>""</f>
        <v/>
      </c>
      <c r="V606" t="s">
        <v>2228</v>
      </c>
      <c r="X606" t="s">
        <v>1275</v>
      </c>
      <c r="Y606" t="s">
        <v>36</v>
      </c>
      <c r="Z606" t="str">
        <f>"85298"</f>
        <v>85298</v>
      </c>
      <c r="AA606" t="str">
        <f>""</f>
        <v/>
      </c>
      <c r="AB606" t="s">
        <v>1466</v>
      </c>
    </row>
    <row r="607" spans="1:28" x14ac:dyDescent="0.25">
      <c r="A607">
        <v>4249</v>
      </c>
      <c r="B607" t="str">
        <f>"070363000"</f>
        <v>070363000</v>
      </c>
      <c r="C607" t="s">
        <v>2229</v>
      </c>
      <c r="D607">
        <v>0</v>
      </c>
      <c r="E607" t="str">
        <f>""</f>
        <v/>
      </c>
      <c r="G607" t="s">
        <v>29</v>
      </c>
      <c r="H607" t="s">
        <v>2230</v>
      </c>
      <c r="I607" t="s">
        <v>590</v>
      </c>
      <c r="J607" t="s">
        <v>134</v>
      </c>
      <c r="K607" t="str">
        <f>"9286852222"</f>
        <v>9286852222</v>
      </c>
      <c r="L607" t="str">
        <f>"104"</f>
        <v>104</v>
      </c>
      <c r="M607" t="str">
        <f>"9266852433"</f>
        <v>9266852433</v>
      </c>
      <c r="N607" t="str">
        <f>""</f>
        <v/>
      </c>
      <c r="O607" t="s">
        <v>2231</v>
      </c>
      <c r="P607" t="s">
        <v>2232</v>
      </c>
      <c r="R607" t="s">
        <v>2233</v>
      </c>
      <c r="S607" t="s">
        <v>36</v>
      </c>
      <c r="T607" t="str">
        <f>"85320"</f>
        <v>85320</v>
      </c>
      <c r="U607" t="str">
        <f>"0218"</f>
        <v>0218</v>
      </c>
      <c r="V607" t="s">
        <v>2234</v>
      </c>
      <c r="X607" t="s">
        <v>2233</v>
      </c>
      <c r="Y607" t="s">
        <v>36</v>
      </c>
      <c r="Z607" t="str">
        <f>"85320"</f>
        <v>85320</v>
      </c>
      <c r="AA607" t="str">
        <f>"0218"</f>
        <v>0218</v>
      </c>
      <c r="AB607" t="s">
        <v>2235</v>
      </c>
    </row>
    <row r="608" spans="1:28" x14ac:dyDescent="0.25">
      <c r="A608">
        <v>4249</v>
      </c>
      <c r="B608" t="str">
        <f>"070363000"</f>
        <v>070363000</v>
      </c>
      <c r="C608" t="s">
        <v>2229</v>
      </c>
      <c r="D608">
        <v>5187</v>
      </c>
      <c r="E608" t="str">
        <f>"070363101"</f>
        <v>070363101</v>
      </c>
      <c r="F608" t="s">
        <v>2236</v>
      </c>
      <c r="G608" t="s">
        <v>42</v>
      </c>
      <c r="H608" t="s">
        <v>2237</v>
      </c>
      <c r="I608" t="s">
        <v>2238</v>
      </c>
      <c r="J608" t="s">
        <v>315</v>
      </c>
      <c r="K608" t="str">
        <f>"9286852222"</f>
        <v>9286852222</v>
      </c>
      <c r="L608" t="str">
        <f>"105"</f>
        <v>105</v>
      </c>
      <c r="M608" t="str">
        <f>"9286852433"</f>
        <v>9286852433</v>
      </c>
      <c r="N608" t="str">
        <f>""</f>
        <v/>
      </c>
      <c r="O608" t="s">
        <v>2239</v>
      </c>
      <c r="P608" t="s">
        <v>2240</v>
      </c>
      <c r="R608" t="s">
        <v>2233</v>
      </c>
      <c r="S608" t="s">
        <v>36</v>
      </c>
      <c r="T608" t="str">
        <f>"85320"</f>
        <v>85320</v>
      </c>
      <c r="U608" t="str">
        <f>""</f>
        <v/>
      </c>
      <c r="V608" t="s">
        <v>2241</v>
      </c>
      <c r="X608" t="s">
        <v>2233</v>
      </c>
      <c r="Y608" t="s">
        <v>36</v>
      </c>
      <c r="Z608" t="str">
        <f>"85320"</f>
        <v>85320</v>
      </c>
      <c r="AA608" t="str">
        <f>"0218"</f>
        <v>0218</v>
      </c>
      <c r="AB608" t="s">
        <v>2235</v>
      </c>
    </row>
    <row r="609" spans="1:28" x14ac:dyDescent="0.25">
      <c r="A609">
        <v>4250</v>
      </c>
      <c r="B609" t="str">
        <f>"070371000"</f>
        <v>070371000</v>
      </c>
      <c r="C609" t="s">
        <v>2242</v>
      </c>
      <c r="D609">
        <v>0</v>
      </c>
      <c r="E609" t="str">
        <f>""</f>
        <v/>
      </c>
      <c r="G609" t="s">
        <v>29</v>
      </c>
      <c r="H609" t="s">
        <v>1375</v>
      </c>
      <c r="I609" t="s">
        <v>2243</v>
      </c>
      <c r="J609" t="s">
        <v>134</v>
      </c>
      <c r="K609" t="str">
        <f>"9283233300"</f>
        <v>9283233300</v>
      </c>
      <c r="L609" t="str">
        <f>""</f>
        <v/>
      </c>
      <c r="M609" t="str">
        <f>"9282203512"</f>
        <v>9282203512</v>
      </c>
      <c r="N609" t="str">
        <f>""</f>
        <v/>
      </c>
      <c r="O609" t="s">
        <v>2244</v>
      </c>
      <c r="P609" t="s">
        <v>2245</v>
      </c>
      <c r="Q609" t="s">
        <v>2246</v>
      </c>
      <c r="R609" t="s">
        <v>2247</v>
      </c>
      <c r="S609" t="s">
        <v>36</v>
      </c>
      <c r="T609" t="str">
        <f>"85333"</f>
        <v>85333</v>
      </c>
      <c r="U609" t="str">
        <f>"9719"</f>
        <v>9719</v>
      </c>
      <c r="V609" t="s">
        <v>2245</v>
      </c>
      <c r="W609" t="s">
        <v>2246</v>
      </c>
      <c r="X609" t="s">
        <v>2247</v>
      </c>
      <c r="Y609" t="s">
        <v>36</v>
      </c>
      <c r="Z609" t="str">
        <f>"85333"</f>
        <v>85333</v>
      </c>
      <c r="AA609" t="str">
        <f>"9719"</f>
        <v>9719</v>
      </c>
      <c r="AB609" t="s">
        <v>265</v>
      </c>
    </row>
    <row r="610" spans="1:28" x14ac:dyDescent="0.25">
      <c r="A610">
        <v>4250</v>
      </c>
      <c r="B610" t="str">
        <f>"070371000"</f>
        <v>070371000</v>
      </c>
      <c r="C610" t="s">
        <v>2242</v>
      </c>
      <c r="D610">
        <v>5188</v>
      </c>
      <c r="E610" t="str">
        <f>"070371101"</f>
        <v>070371101</v>
      </c>
      <c r="F610" t="s">
        <v>2248</v>
      </c>
      <c r="G610" t="s">
        <v>42</v>
      </c>
      <c r="H610" t="s">
        <v>1375</v>
      </c>
      <c r="I610" t="s">
        <v>2243</v>
      </c>
      <c r="J610" t="s">
        <v>134</v>
      </c>
      <c r="K610" t="str">
        <f>"9283233300"</f>
        <v>9283233300</v>
      </c>
      <c r="L610" t="str">
        <f>""</f>
        <v/>
      </c>
      <c r="M610" t="str">
        <f>"9282203512"</f>
        <v>9282203512</v>
      </c>
      <c r="N610" t="str">
        <f>""</f>
        <v/>
      </c>
      <c r="O610" t="s">
        <v>2244</v>
      </c>
      <c r="P610" t="s">
        <v>2249</v>
      </c>
      <c r="Q610" t="s">
        <v>2250</v>
      </c>
      <c r="R610" t="s">
        <v>2247</v>
      </c>
      <c r="S610" t="s">
        <v>36</v>
      </c>
      <c r="T610" t="str">
        <f>"85333"</f>
        <v>85333</v>
      </c>
      <c r="U610" t="str">
        <f>"9719"</f>
        <v>9719</v>
      </c>
      <c r="V610" t="s">
        <v>2249</v>
      </c>
      <c r="W610" t="s">
        <v>2250</v>
      </c>
      <c r="X610" t="s">
        <v>2247</v>
      </c>
      <c r="Y610" t="s">
        <v>36</v>
      </c>
      <c r="Z610" t="str">
        <f>"85333"</f>
        <v>85333</v>
      </c>
      <c r="AA610" t="str">
        <f>"9719"</f>
        <v>9719</v>
      </c>
      <c r="AB610" t="s">
        <v>265</v>
      </c>
    </row>
    <row r="611" spans="1:28" x14ac:dyDescent="0.25">
      <c r="A611">
        <v>4251</v>
      </c>
      <c r="B611" t="str">
        <f>"070375000"</f>
        <v>070375000</v>
      </c>
      <c r="C611" t="s">
        <v>2251</v>
      </c>
      <c r="D611">
        <v>0</v>
      </c>
      <c r="E611" t="str">
        <f>""</f>
        <v/>
      </c>
      <c r="G611" t="s">
        <v>29</v>
      </c>
      <c r="H611" t="s">
        <v>260</v>
      </c>
      <c r="I611" t="s">
        <v>2252</v>
      </c>
      <c r="J611" t="s">
        <v>2253</v>
      </c>
      <c r="K611" t="str">
        <f>"6235465100"</f>
        <v>6235465100</v>
      </c>
      <c r="L611" t="str">
        <f>""</f>
        <v/>
      </c>
      <c r="M611" t="str">
        <f>""</f>
        <v/>
      </c>
      <c r="N611" t="str">
        <f>""</f>
        <v/>
      </c>
      <c r="O611" t="s">
        <v>2254</v>
      </c>
      <c r="P611" t="s">
        <v>2255</v>
      </c>
      <c r="R611" t="s">
        <v>2256</v>
      </c>
      <c r="S611" t="s">
        <v>36</v>
      </c>
      <c r="T611" t="str">
        <f>"85342"</f>
        <v>85342</v>
      </c>
      <c r="U611" t="str">
        <f>"0098"</f>
        <v>0098</v>
      </c>
      <c r="V611" t="s">
        <v>2257</v>
      </c>
      <c r="X611" t="s">
        <v>2256</v>
      </c>
      <c r="Y611" t="s">
        <v>36</v>
      </c>
      <c r="Z611" t="str">
        <f>"85342"</f>
        <v>85342</v>
      </c>
      <c r="AA611" t="str">
        <f>"0098"</f>
        <v>0098</v>
      </c>
      <c r="AB611" t="s">
        <v>516</v>
      </c>
    </row>
    <row r="612" spans="1:28" x14ac:dyDescent="0.25">
      <c r="A612">
        <v>4251</v>
      </c>
      <c r="B612" t="str">
        <f>"070375000"</f>
        <v>070375000</v>
      </c>
      <c r="C612" t="s">
        <v>2251</v>
      </c>
      <c r="D612">
        <v>5189</v>
      </c>
      <c r="E612" t="str">
        <f>"070375101"</f>
        <v>070375101</v>
      </c>
      <c r="F612" t="s">
        <v>2258</v>
      </c>
      <c r="G612" t="s">
        <v>42</v>
      </c>
      <c r="H612" t="s">
        <v>260</v>
      </c>
      <c r="I612" t="s">
        <v>2252</v>
      </c>
      <c r="J612" t="s">
        <v>2253</v>
      </c>
      <c r="K612" t="str">
        <f>"6235465100"</f>
        <v>6235465100</v>
      </c>
      <c r="L612" t="str">
        <f>""</f>
        <v/>
      </c>
      <c r="M612" t="str">
        <f>"6233889368"</f>
        <v>6233889368</v>
      </c>
      <c r="N612" t="str">
        <f>""</f>
        <v/>
      </c>
      <c r="O612" t="s">
        <v>2254</v>
      </c>
      <c r="P612" t="s">
        <v>2255</v>
      </c>
      <c r="R612" t="s">
        <v>2256</v>
      </c>
      <c r="S612" t="s">
        <v>36</v>
      </c>
      <c r="T612" t="str">
        <f>"85342"</f>
        <v>85342</v>
      </c>
      <c r="U612" t="str">
        <f>""</f>
        <v/>
      </c>
      <c r="V612" t="s">
        <v>2257</v>
      </c>
      <c r="X612" t="s">
        <v>2256</v>
      </c>
      <c r="Y612" t="s">
        <v>36</v>
      </c>
      <c r="Z612" t="str">
        <f>"85342"</f>
        <v>85342</v>
      </c>
      <c r="AA612" t="str">
        <f>""</f>
        <v/>
      </c>
      <c r="AB612" t="s">
        <v>516</v>
      </c>
    </row>
    <row r="613" spans="1:28" x14ac:dyDescent="0.25">
      <c r="A613">
        <v>4252</v>
      </c>
      <c r="B613" t="str">
        <f>"070381000"</f>
        <v>070381000</v>
      </c>
      <c r="C613" t="s">
        <v>2259</v>
      </c>
      <c r="D613">
        <v>0</v>
      </c>
      <c r="E613" t="str">
        <f>""</f>
        <v/>
      </c>
      <c r="G613" t="s">
        <v>29</v>
      </c>
      <c r="H613" t="s">
        <v>2260</v>
      </c>
      <c r="I613" t="s">
        <v>2261</v>
      </c>
      <c r="J613" t="s">
        <v>202</v>
      </c>
      <c r="K613" t="str">
        <f>"6233882130"</f>
        <v>6233882130</v>
      </c>
      <c r="L613" t="str">
        <f>""</f>
        <v/>
      </c>
      <c r="M613" t="str">
        <f>"6233882915"</f>
        <v>6233882915</v>
      </c>
      <c r="N613" t="str">
        <f>""</f>
        <v/>
      </c>
      <c r="O613" t="s">
        <v>2262</v>
      </c>
      <c r="P613" t="s">
        <v>2263</v>
      </c>
      <c r="R613" t="s">
        <v>2264</v>
      </c>
      <c r="S613" t="s">
        <v>36</v>
      </c>
      <c r="T613" t="str">
        <f>"85361"</f>
        <v>85361</v>
      </c>
      <c r="U613" t="str">
        <f>"2130"</f>
        <v>2130</v>
      </c>
      <c r="V613" t="s">
        <v>2263</v>
      </c>
      <c r="X613" t="s">
        <v>2264</v>
      </c>
      <c r="Y613" t="s">
        <v>36</v>
      </c>
      <c r="Z613" t="str">
        <f>"85361"</f>
        <v>85361</v>
      </c>
      <c r="AA613" t="str">
        <f>"2130"</f>
        <v>2130</v>
      </c>
      <c r="AB613" t="s">
        <v>265</v>
      </c>
    </row>
    <row r="614" spans="1:28" x14ac:dyDescent="0.25">
      <c r="A614">
        <v>4252</v>
      </c>
      <c r="B614" t="str">
        <f>"070381000"</f>
        <v>070381000</v>
      </c>
      <c r="C614" t="s">
        <v>2259</v>
      </c>
      <c r="D614">
        <v>5190</v>
      </c>
      <c r="E614" t="str">
        <f>"070381101"</f>
        <v>070381101</v>
      </c>
      <c r="F614" t="s">
        <v>2265</v>
      </c>
      <c r="G614" t="s">
        <v>42</v>
      </c>
      <c r="H614" t="s">
        <v>601</v>
      </c>
      <c r="I614" t="s">
        <v>2266</v>
      </c>
      <c r="J614" t="s">
        <v>315</v>
      </c>
      <c r="K614" t="str">
        <f>"6233882110"</f>
        <v>6233882110</v>
      </c>
      <c r="L614" t="str">
        <f>""</f>
        <v/>
      </c>
      <c r="M614" t="str">
        <f>"6233882204"</f>
        <v>6233882204</v>
      </c>
      <c r="N614" t="str">
        <f>""</f>
        <v/>
      </c>
      <c r="O614" t="s">
        <v>2267</v>
      </c>
      <c r="P614" t="s">
        <v>2268</v>
      </c>
      <c r="R614" t="s">
        <v>2264</v>
      </c>
      <c r="S614" t="s">
        <v>36</v>
      </c>
      <c r="T614" t="str">
        <f>"85361"</f>
        <v>85361</v>
      </c>
      <c r="U614" t="str">
        <f>"8412"</f>
        <v>8412</v>
      </c>
      <c r="V614" t="s">
        <v>2268</v>
      </c>
      <c r="X614" t="s">
        <v>2264</v>
      </c>
      <c r="Y614" t="s">
        <v>36</v>
      </c>
      <c r="Z614" t="str">
        <f>"85361"</f>
        <v>85361</v>
      </c>
      <c r="AA614" t="str">
        <f>"8412"</f>
        <v>8412</v>
      </c>
      <c r="AB614" t="s">
        <v>265</v>
      </c>
    </row>
    <row r="615" spans="1:28" x14ac:dyDescent="0.25">
      <c r="A615">
        <v>4252</v>
      </c>
      <c r="B615" t="str">
        <f>"070381000"</f>
        <v>070381000</v>
      </c>
      <c r="C615" t="s">
        <v>2259</v>
      </c>
      <c r="D615">
        <v>89748</v>
      </c>
      <c r="E615" t="str">
        <f>"070381102"</f>
        <v>070381102</v>
      </c>
      <c r="F615" t="s">
        <v>2269</v>
      </c>
      <c r="G615" t="s">
        <v>42</v>
      </c>
      <c r="H615" t="s">
        <v>2270</v>
      </c>
      <c r="I615" t="s">
        <v>2271</v>
      </c>
      <c r="J615" t="s">
        <v>2272</v>
      </c>
      <c r="K615" t="str">
        <f>"6235565886"</f>
        <v>6235565886</v>
      </c>
      <c r="L615" t="str">
        <f>""</f>
        <v/>
      </c>
      <c r="M615" t="str">
        <f>"6235565880"</f>
        <v>6235565880</v>
      </c>
      <c r="N615" t="str">
        <f>""</f>
        <v/>
      </c>
      <c r="O615" t="s">
        <v>2273</v>
      </c>
      <c r="P615" t="s">
        <v>2274</v>
      </c>
      <c r="R615" t="s">
        <v>1806</v>
      </c>
      <c r="S615" t="s">
        <v>36</v>
      </c>
      <c r="T615" t="str">
        <f>"85387"</f>
        <v>85387</v>
      </c>
      <c r="U615" t="str">
        <f>""</f>
        <v/>
      </c>
      <c r="V615" t="s">
        <v>2274</v>
      </c>
      <c r="X615" t="s">
        <v>1806</v>
      </c>
      <c r="Y615" t="s">
        <v>36</v>
      </c>
      <c r="Z615" t="str">
        <f>"85387"</f>
        <v>85387</v>
      </c>
      <c r="AA615" t="str">
        <f>""</f>
        <v/>
      </c>
      <c r="AB615" t="s">
        <v>265</v>
      </c>
    </row>
    <row r="616" spans="1:28" x14ac:dyDescent="0.25">
      <c r="A616">
        <v>4253</v>
      </c>
      <c r="B616" t="str">
        <f>"070386000"</f>
        <v>070386000</v>
      </c>
      <c r="C616" t="s">
        <v>2275</v>
      </c>
      <c r="D616">
        <v>0</v>
      </c>
      <c r="E616" t="str">
        <f>""</f>
        <v/>
      </c>
      <c r="G616" t="s">
        <v>29</v>
      </c>
      <c r="H616" t="s">
        <v>2276</v>
      </c>
      <c r="I616" t="s">
        <v>2277</v>
      </c>
      <c r="J616" t="s">
        <v>2278</v>
      </c>
      <c r="K616" t="str">
        <f>"5205682280"</f>
        <v>5205682280</v>
      </c>
      <c r="L616" t="str">
        <f>""</f>
        <v/>
      </c>
      <c r="M616" t="str">
        <f>"5205689361"</f>
        <v>5205689361</v>
      </c>
      <c r="N616" t="str">
        <f>""</f>
        <v/>
      </c>
      <c r="O616" t="s">
        <v>2279</v>
      </c>
      <c r="P616" t="s">
        <v>2280</v>
      </c>
      <c r="R616" t="s">
        <v>2281</v>
      </c>
      <c r="S616" t="s">
        <v>36</v>
      </c>
      <c r="T616" t="str">
        <f>"85139"</f>
        <v>85139</v>
      </c>
      <c r="U616" t="str">
        <f>""</f>
        <v/>
      </c>
      <c r="V616" t="s">
        <v>2280</v>
      </c>
      <c r="X616" t="s">
        <v>2281</v>
      </c>
      <c r="Y616" t="s">
        <v>36</v>
      </c>
      <c r="Z616" t="str">
        <f>"85139"</f>
        <v>85139</v>
      </c>
      <c r="AA616" t="str">
        <f>""</f>
        <v/>
      </c>
      <c r="AB616" t="s">
        <v>282</v>
      </c>
    </row>
    <row r="617" spans="1:28" x14ac:dyDescent="0.25">
      <c r="A617">
        <v>4253</v>
      </c>
      <c r="B617" t="str">
        <f>"070386000"</f>
        <v>070386000</v>
      </c>
      <c r="C617" t="s">
        <v>2275</v>
      </c>
      <c r="D617">
        <v>5191</v>
      </c>
      <c r="E617" t="str">
        <f>"070386101"</f>
        <v>070386101</v>
      </c>
      <c r="F617" t="s">
        <v>2282</v>
      </c>
      <c r="G617" t="s">
        <v>42</v>
      </c>
      <c r="H617" t="s">
        <v>2276</v>
      </c>
      <c r="I617" t="s">
        <v>2277</v>
      </c>
      <c r="J617" t="s">
        <v>2283</v>
      </c>
      <c r="K617" t="str">
        <f>"5205682280"</f>
        <v>5205682280</v>
      </c>
      <c r="L617" t="str">
        <f>""</f>
        <v/>
      </c>
      <c r="M617" t="str">
        <f>"5205689361"</f>
        <v>5205689361</v>
      </c>
      <c r="N617" t="str">
        <f>""</f>
        <v/>
      </c>
      <c r="O617" t="s">
        <v>2279</v>
      </c>
      <c r="P617" t="s">
        <v>2284</v>
      </c>
      <c r="R617" t="s">
        <v>2281</v>
      </c>
      <c r="S617" t="s">
        <v>36</v>
      </c>
      <c r="T617" t="str">
        <f>"85139"</f>
        <v>85139</v>
      </c>
      <c r="U617" t="str">
        <f>""</f>
        <v/>
      </c>
      <c r="V617" t="s">
        <v>2284</v>
      </c>
      <c r="X617" t="s">
        <v>2281</v>
      </c>
      <c r="Y617" t="s">
        <v>36</v>
      </c>
      <c r="Z617" t="str">
        <f>"85139"</f>
        <v>85139</v>
      </c>
      <c r="AA617" t="str">
        <f>""</f>
        <v/>
      </c>
      <c r="AB617" t="s">
        <v>282</v>
      </c>
    </row>
    <row r="618" spans="1:28" x14ac:dyDescent="0.25">
      <c r="A618">
        <v>4254</v>
      </c>
      <c r="B618" t="str">
        <f>"070290000"</f>
        <v>070290000</v>
      </c>
      <c r="C618" t="s">
        <v>2285</v>
      </c>
      <c r="D618">
        <v>0</v>
      </c>
      <c r="E618" t="str">
        <f>""</f>
        <v/>
      </c>
      <c r="G618" t="s">
        <v>29</v>
      </c>
      <c r="H618" t="s">
        <v>2286</v>
      </c>
      <c r="I618" t="s">
        <v>2287</v>
      </c>
      <c r="J618" t="s">
        <v>134</v>
      </c>
      <c r="K618" t="str">
        <f>"6234745110"</f>
        <v>6234745110</v>
      </c>
      <c r="L618" t="str">
        <f>""</f>
        <v/>
      </c>
      <c r="M618" t="str">
        <f>"6234745190"</f>
        <v>6234745190</v>
      </c>
      <c r="N618" t="str">
        <f>""</f>
        <v/>
      </c>
      <c r="O618" t="s">
        <v>2288</v>
      </c>
      <c r="P618" t="s">
        <v>2289</v>
      </c>
      <c r="R618" t="s">
        <v>2290</v>
      </c>
      <c r="S618" t="s">
        <v>36</v>
      </c>
      <c r="T618" t="str">
        <f>"85354"</f>
        <v>85354</v>
      </c>
      <c r="U618" t="str">
        <f>""</f>
        <v/>
      </c>
      <c r="V618" t="s">
        <v>2289</v>
      </c>
      <c r="X618" t="s">
        <v>2290</v>
      </c>
      <c r="Y618" t="s">
        <v>36</v>
      </c>
      <c r="Z618" t="str">
        <f>"85354"</f>
        <v>85354</v>
      </c>
      <c r="AA618" t="str">
        <f>""</f>
        <v/>
      </c>
      <c r="AB618" t="s">
        <v>821</v>
      </c>
    </row>
    <row r="619" spans="1:28" x14ac:dyDescent="0.25">
      <c r="A619">
        <v>4254</v>
      </c>
      <c r="B619" t="str">
        <f>"070290000"</f>
        <v>070290000</v>
      </c>
      <c r="C619" t="s">
        <v>2285</v>
      </c>
      <c r="D619">
        <v>5192</v>
      </c>
      <c r="E619" t="str">
        <f>"070290101"</f>
        <v>070290101</v>
      </c>
      <c r="F619" t="s">
        <v>2291</v>
      </c>
      <c r="G619" t="s">
        <v>42</v>
      </c>
      <c r="H619" t="s">
        <v>2292</v>
      </c>
      <c r="I619" t="s">
        <v>2293</v>
      </c>
      <c r="J619" t="s">
        <v>710</v>
      </c>
      <c r="K619" t="str">
        <f>"6234745103"</f>
        <v>6234745103</v>
      </c>
      <c r="L619" t="str">
        <f>""</f>
        <v/>
      </c>
      <c r="M619" t="str">
        <f>"6234745190"</f>
        <v>6234745190</v>
      </c>
      <c r="N619" t="str">
        <f>""</f>
        <v/>
      </c>
      <c r="O619" t="s">
        <v>2294</v>
      </c>
      <c r="P619" t="s">
        <v>2295</v>
      </c>
      <c r="R619" t="s">
        <v>2290</v>
      </c>
      <c r="S619" t="s">
        <v>36</v>
      </c>
      <c r="T619" t="str">
        <f>"85354"</f>
        <v>85354</v>
      </c>
      <c r="U619" t="str">
        <f>""</f>
        <v/>
      </c>
      <c r="V619" t="s">
        <v>2295</v>
      </c>
      <c r="X619" t="s">
        <v>2290</v>
      </c>
      <c r="Y619" t="s">
        <v>36</v>
      </c>
      <c r="Z619" t="str">
        <f>"85354"</f>
        <v>85354</v>
      </c>
      <c r="AA619" t="str">
        <f>""</f>
        <v/>
      </c>
      <c r="AB619" t="s">
        <v>821</v>
      </c>
    </row>
    <row r="620" spans="1:28" x14ac:dyDescent="0.25">
      <c r="A620">
        <v>4254</v>
      </c>
      <c r="B620" t="str">
        <f>"070290000"</f>
        <v>070290000</v>
      </c>
      <c r="C620" t="s">
        <v>2285</v>
      </c>
      <c r="D620">
        <v>85819</v>
      </c>
      <c r="E620" t="str">
        <f>"070290002"</f>
        <v>070290002</v>
      </c>
      <c r="F620" t="s">
        <v>2296</v>
      </c>
      <c r="G620" t="s">
        <v>42</v>
      </c>
      <c r="H620" t="s">
        <v>2292</v>
      </c>
      <c r="I620" t="s">
        <v>2293</v>
      </c>
      <c r="J620" t="s">
        <v>710</v>
      </c>
      <c r="K620" t="str">
        <f>"6234745103"</f>
        <v>6234745103</v>
      </c>
      <c r="L620" t="str">
        <f>""</f>
        <v/>
      </c>
      <c r="M620" t="str">
        <f>"6234745190"</f>
        <v>6234745190</v>
      </c>
      <c r="N620" t="str">
        <f>""</f>
        <v/>
      </c>
      <c r="O620" t="s">
        <v>2294</v>
      </c>
      <c r="P620" t="s">
        <v>2297</v>
      </c>
      <c r="R620" t="s">
        <v>2290</v>
      </c>
      <c r="S620" t="s">
        <v>36</v>
      </c>
      <c r="T620" t="str">
        <f>"85354"</f>
        <v>85354</v>
      </c>
      <c r="U620" t="str">
        <f>""</f>
        <v/>
      </c>
      <c r="V620" t="s">
        <v>2297</v>
      </c>
      <c r="X620" t="s">
        <v>2290</v>
      </c>
      <c r="Y620" t="s">
        <v>36</v>
      </c>
      <c r="Z620" t="str">
        <f>"85354"</f>
        <v>85354</v>
      </c>
      <c r="AA620" t="str">
        <f>""</f>
        <v/>
      </c>
      <c r="AB620" t="s">
        <v>821</v>
      </c>
    </row>
    <row r="621" spans="1:28" x14ac:dyDescent="0.25">
      <c r="A621">
        <v>4254</v>
      </c>
      <c r="B621" t="str">
        <f>"070290000"</f>
        <v>070290000</v>
      </c>
      <c r="C621" t="s">
        <v>2285</v>
      </c>
      <c r="D621">
        <v>89596</v>
      </c>
      <c r="E621" t="str">
        <f>"070290102"</f>
        <v>070290102</v>
      </c>
      <c r="F621" t="s">
        <v>2298</v>
      </c>
      <c r="G621" t="s">
        <v>42</v>
      </c>
      <c r="H621" t="s">
        <v>2292</v>
      </c>
      <c r="I621" t="s">
        <v>2293</v>
      </c>
      <c r="J621" t="s">
        <v>710</v>
      </c>
      <c r="K621" t="str">
        <f>"6234745103"</f>
        <v>6234745103</v>
      </c>
      <c r="L621" t="str">
        <f>""</f>
        <v/>
      </c>
      <c r="M621" t="str">
        <f>"6234745190"</f>
        <v>6234745190</v>
      </c>
      <c r="N621" t="str">
        <f>""</f>
        <v/>
      </c>
      <c r="O621" t="s">
        <v>2294</v>
      </c>
      <c r="P621" t="s">
        <v>2299</v>
      </c>
      <c r="R621" t="s">
        <v>1158</v>
      </c>
      <c r="S621" t="s">
        <v>36</v>
      </c>
      <c r="T621" t="str">
        <f>"85396"</f>
        <v>85396</v>
      </c>
      <c r="U621" t="str">
        <f>""</f>
        <v/>
      </c>
      <c r="V621" t="s">
        <v>2299</v>
      </c>
      <c r="X621" t="s">
        <v>1158</v>
      </c>
      <c r="Y621" t="s">
        <v>36</v>
      </c>
      <c r="Z621" t="str">
        <f>"85396"</f>
        <v>85396</v>
      </c>
      <c r="AA621" t="str">
        <f>""</f>
        <v/>
      </c>
      <c r="AB621" t="s">
        <v>821</v>
      </c>
    </row>
    <row r="622" spans="1:28" x14ac:dyDescent="0.25">
      <c r="A622">
        <v>4255</v>
      </c>
      <c r="B622" t="str">
        <f>"070394000"</f>
        <v>070394000</v>
      </c>
      <c r="C622" t="s">
        <v>2300</v>
      </c>
      <c r="D622">
        <v>0</v>
      </c>
      <c r="E622" t="str">
        <f>""</f>
        <v/>
      </c>
      <c r="G622" t="s">
        <v>29</v>
      </c>
      <c r="H622" t="s">
        <v>2301</v>
      </c>
      <c r="I622" t="s">
        <v>2302</v>
      </c>
      <c r="J622" t="s">
        <v>2303</v>
      </c>
      <c r="K622" t="str">
        <f>"9286832588"</f>
        <v>9286832588</v>
      </c>
      <c r="L622" t="str">
        <f>""</f>
        <v/>
      </c>
      <c r="M622" t="str">
        <f>""</f>
        <v/>
      </c>
      <c r="N622" t="str">
        <f>""</f>
        <v/>
      </c>
      <c r="O622" t="s">
        <v>2304</v>
      </c>
      <c r="P622" t="s">
        <v>2305</v>
      </c>
      <c r="R622" t="s">
        <v>1264</v>
      </c>
      <c r="S622" t="s">
        <v>36</v>
      </c>
      <c r="T622" t="str">
        <f>"85337"</f>
        <v>85337</v>
      </c>
      <c r="U622" t="str">
        <f>"9705"</f>
        <v>9705</v>
      </c>
      <c r="V622" t="s">
        <v>2305</v>
      </c>
      <c r="X622" t="s">
        <v>1264</v>
      </c>
      <c r="Y622" t="s">
        <v>36</v>
      </c>
      <c r="Z622" t="str">
        <f>"85337"</f>
        <v>85337</v>
      </c>
      <c r="AA622" t="str">
        <f>"9705"</f>
        <v>9705</v>
      </c>
      <c r="AB622" t="s">
        <v>2306</v>
      </c>
    </row>
    <row r="623" spans="1:28" x14ac:dyDescent="0.25">
      <c r="A623">
        <v>4255</v>
      </c>
      <c r="B623" t="str">
        <f>"070394000"</f>
        <v>070394000</v>
      </c>
      <c r="C623" t="s">
        <v>2300</v>
      </c>
      <c r="D623">
        <v>5193</v>
      </c>
      <c r="E623" t="str">
        <f>"070394001"</f>
        <v>070394001</v>
      </c>
      <c r="F623" t="s">
        <v>2307</v>
      </c>
      <c r="G623" t="s">
        <v>42</v>
      </c>
      <c r="H623" t="s">
        <v>2308</v>
      </c>
      <c r="I623" t="s">
        <v>110</v>
      </c>
      <c r="J623" t="s">
        <v>202</v>
      </c>
      <c r="K623" t="str">
        <f>"9286832588"</f>
        <v>9286832588</v>
      </c>
      <c r="L623" t="str">
        <f>""</f>
        <v/>
      </c>
      <c r="M623" t="str">
        <f>"9286832093"</f>
        <v>9286832093</v>
      </c>
      <c r="N623" t="str">
        <f>""</f>
        <v/>
      </c>
      <c r="O623" t="s">
        <v>2304</v>
      </c>
      <c r="P623" t="s">
        <v>2305</v>
      </c>
      <c r="R623" t="s">
        <v>1264</v>
      </c>
      <c r="S623" t="s">
        <v>36</v>
      </c>
      <c r="T623" t="str">
        <f>"85337"</f>
        <v>85337</v>
      </c>
      <c r="U623" t="str">
        <f>""</f>
        <v/>
      </c>
      <c r="V623" t="s">
        <v>2305</v>
      </c>
      <c r="X623" t="s">
        <v>1264</v>
      </c>
      <c r="Y623" t="s">
        <v>36</v>
      </c>
      <c r="Z623" t="str">
        <f>"85337"</f>
        <v>85337</v>
      </c>
      <c r="AA623" t="str">
        <f>""</f>
        <v/>
      </c>
      <c r="AB623" t="s">
        <v>2306</v>
      </c>
    </row>
    <row r="624" spans="1:28" x14ac:dyDescent="0.25">
      <c r="A624">
        <v>4256</v>
      </c>
      <c r="B624" t="str">
        <f t="shared" ref="B624:B637" si="86">"070401000"</f>
        <v>070401000</v>
      </c>
      <c r="C624" t="s">
        <v>2309</v>
      </c>
      <c r="D624">
        <v>0</v>
      </c>
      <c r="E624" t="str">
        <f>""</f>
        <v/>
      </c>
      <c r="G624" t="s">
        <v>29</v>
      </c>
      <c r="H624" t="s">
        <v>1318</v>
      </c>
      <c r="I624" t="s">
        <v>2310</v>
      </c>
      <c r="J624" t="s">
        <v>1935</v>
      </c>
      <c r="K624" t="str">
        <f>"6022573743"</f>
        <v>6022573743</v>
      </c>
      <c r="L624" t="str">
        <f>""</f>
        <v/>
      </c>
      <c r="M624" t="str">
        <f t="shared" ref="M624:M637" si="87">"6022573744"</f>
        <v>6022573744</v>
      </c>
      <c r="N624" t="str">
        <f>""</f>
        <v/>
      </c>
      <c r="O624" t="s">
        <v>2311</v>
      </c>
      <c r="P624" t="s">
        <v>2312</v>
      </c>
      <c r="R624" t="s">
        <v>964</v>
      </c>
      <c r="S624" t="s">
        <v>36</v>
      </c>
      <c r="T624" t="str">
        <f t="shared" ref="T624:T637" si="88">"85004"</f>
        <v>85004</v>
      </c>
      <c r="U624" t="str">
        <f>""</f>
        <v/>
      </c>
      <c r="V624" t="s">
        <v>2313</v>
      </c>
      <c r="X624" t="s">
        <v>964</v>
      </c>
      <c r="Y624" t="s">
        <v>36</v>
      </c>
      <c r="Z624" t="str">
        <f>"85006"</f>
        <v>85006</v>
      </c>
      <c r="AA624" t="str">
        <f>""</f>
        <v/>
      </c>
      <c r="AB624" t="s">
        <v>516</v>
      </c>
    </row>
    <row r="625" spans="1:28" x14ac:dyDescent="0.25">
      <c r="A625">
        <v>4256</v>
      </c>
      <c r="B625" t="str">
        <f t="shared" si="86"/>
        <v>070401000</v>
      </c>
      <c r="C625" t="s">
        <v>2309</v>
      </c>
      <c r="D625">
        <v>5195</v>
      </c>
      <c r="E625" t="str">
        <f>"070401101"</f>
        <v>070401101</v>
      </c>
      <c r="F625" t="s">
        <v>2314</v>
      </c>
      <c r="G625" t="s">
        <v>42</v>
      </c>
      <c r="H625" t="s">
        <v>1318</v>
      </c>
      <c r="I625" t="s">
        <v>2310</v>
      </c>
      <c r="J625" t="s">
        <v>2315</v>
      </c>
      <c r="K625" t="str">
        <f t="shared" ref="K625:K637" si="89">"6022573741"</f>
        <v>6022573741</v>
      </c>
      <c r="L625" t="str">
        <f>""</f>
        <v/>
      </c>
      <c r="M625" t="str">
        <f t="shared" si="87"/>
        <v>6022573744</v>
      </c>
      <c r="N625" t="str">
        <f>""</f>
        <v/>
      </c>
      <c r="O625" t="s">
        <v>2311</v>
      </c>
      <c r="P625" t="s">
        <v>2312</v>
      </c>
      <c r="R625" t="s">
        <v>964</v>
      </c>
      <c r="S625" t="s">
        <v>36</v>
      </c>
      <c r="T625" t="str">
        <f t="shared" si="88"/>
        <v>85004</v>
      </c>
      <c r="U625" t="str">
        <f>""</f>
        <v/>
      </c>
      <c r="V625" t="s">
        <v>2316</v>
      </c>
      <c r="X625" t="s">
        <v>964</v>
      </c>
      <c r="Y625" t="s">
        <v>36</v>
      </c>
      <c r="Z625" t="str">
        <f>"85007"</f>
        <v>85007</v>
      </c>
      <c r="AA625" t="str">
        <f>""</f>
        <v/>
      </c>
      <c r="AB625" t="s">
        <v>516</v>
      </c>
    </row>
    <row r="626" spans="1:28" x14ac:dyDescent="0.25">
      <c r="A626">
        <v>4256</v>
      </c>
      <c r="B626" t="str">
        <f t="shared" si="86"/>
        <v>070401000</v>
      </c>
      <c r="C626" t="s">
        <v>2309</v>
      </c>
      <c r="D626">
        <v>5196</v>
      </c>
      <c r="E626" t="str">
        <f>"070401102"</f>
        <v>070401102</v>
      </c>
      <c r="F626" t="s">
        <v>2317</v>
      </c>
      <c r="G626" t="s">
        <v>42</v>
      </c>
      <c r="H626" t="s">
        <v>1318</v>
      </c>
      <c r="I626" t="s">
        <v>2310</v>
      </c>
      <c r="J626" t="s">
        <v>202</v>
      </c>
      <c r="K626" t="str">
        <f t="shared" si="89"/>
        <v>6022573741</v>
      </c>
      <c r="L626" t="str">
        <f>""</f>
        <v/>
      </c>
      <c r="M626" t="str">
        <f t="shared" si="87"/>
        <v>6022573744</v>
      </c>
      <c r="N626" t="str">
        <f>""</f>
        <v/>
      </c>
      <c r="O626" t="s">
        <v>2311</v>
      </c>
      <c r="P626" t="s">
        <v>2312</v>
      </c>
      <c r="R626" t="s">
        <v>964</v>
      </c>
      <c r="S626" t="s">
        <v>36</v>
      </c>
      <c r="T626" t="str">
        <f t="shared" si="88"/>
        <v>85004</v>
      </c>
      <c r="U626" t="str">
        <f>""</f>
        <v/>
      </c>
      <c r="V626" t="s">
        <v>2318</v>
      </c>
      <c r="X626" t="s">
        <v>964</v>
      </c>
      <c r="Y626" t="s">
        <v>36</v>
      </c>
      <c r="Z626" t="str">
        <f>"85007"</f>
        <v>85007</v>
      </c>
      <c r="AA626" t="str">
        <f>""</f>
        <v/>
      </c>
      <c r="AB626" t="s">
        <v>516</v>
      </c>
    </row>
    <row r="627" spans="1:28" x14ac:dyDescent="0.25">
      <c r="A627">
        <v>4256</v>
      </c>
      <c r="B627" t="str">
        <f t="shared" si="86"/>
        <v>070401000</v>
      </c>
      <c r="C627" t="s">
        <v>2309</v>
      </c>
      <c r="D627">
        <v>5197</v>
      </c>
      <c r="E627" t="str">
        <f>"070401104"</f>
        <v>070401104</v>
      </c>
      <c r="F627" t="s">
        <v>2319</v>
      </c>
      <c r="G627" t="s">
        <v>42</v>
      </c>
      <c r="H627" t="s">
        <v>1318</v>
      </c>
      <c r="I627" t="s">
        <v>2310</v>
      </c>
      <c r="J627" t="s">
        <v>1935</v>
      </c>
      <c r="K627" t="str">
        <f t="shared" si="89"/>
        <v>6022573741</v>
      </c>
      <c r="L627" t="str">
        <f>""</f>
        <v/>
      </c>
      <c r="M627" t="str">
        <f t="shared" si="87"/>
        <v>6022573744</v>
      </c>
      <c r="N627" t="str">
        <f>""</f>
        <v/>
      </c>
      <c r="O627" t="s">
        <v>2311</v>
      </c>
      <c r="P627" t="s">
        <v>2312</v>
      </c>
      <c r="R627" t="s">
        <v>964</v>
      </c>
      <c r="S627" t="s">
        <v>36</v>
      </c>
      <c r="T627" t="str">
        <f t="shared" si="88"/>
        <v>85004</v>
      </c>
      <c r="U627" t="str">
        <f>""</f>
        <v/>
      </c>
      <c r="V627" t="s">
        <v>2320</v>
      </c>
      <c r="X627" t="s">
        <v>964</v>
      </c>
      <c r="Y627" t="s">
        <v>36</v>
      </c>
      <c r="Z627" t="str">
        <f>"85007"</f>
        <v>85007</v>
      </c>
      <c r="AA627" t="str">
        <f>""</f>
        <v/>
      </c>
      <c r="AB627" t="s">
        <v>516</v>
      </c>
    </row>
    <row r="628" spans="1:28" x14ac:dyDescent="0.25">
      <c r="A628">
        <v>4256</v>
      </c>
      <c r="B628" t="str">
        <f t="shared" si="86"/>
        <v>070401000</v>
      </c>
      <c r="C628" t="s">
        <v>2309</v>
      </c>
      <c r="D628">
        <v>5198</v>
      </c>
      <c r="E628" t="str">
        <f>"070401105"</f>
        <v>070401105</v>
      </c>
      <c r="F628" t="s">
        <v>2321</v>
      </c>
      <c r="G628" t="s">
        <v>42</v>
      </c>
      <c r="H628" t="s">
        <v>1318</v>
      </c>
      <c r="I628" t="s">
        <v>2310</v>
      </c>
      <c r="J628" t="s">
        <v>1935</v>
      </c>
      <c r="K628" t="str">
        <f t="shared" si="89"/>
        <v>6022573741</v>
      </c>
      <c r="L628" t="str">
        <f>""</f>
        <v/>
      </c>
      <c r="M628" t="str">
        <f t="shared" si="87"/>
        <v>6022573744</v>
      </c>
      <c r="N628" t="str">
        <f>""</f>
        <v/>
      </c>
      <c r="O628" t="s">
        <v>2311</v>
      </c>
      <c r="P628" t="s">
        <v>2312</v>
      </c>
      <c r="R628" t="s">
        <v>964</v>
      </c>
      <c r="S628" t="s">
        <v>36</v>
      </c>
      <c r="T628" t="str">
        <f t="shared" si="88"/>
        <v>85004</v>
      </c>
      <c r="U628" t="str">
        <f>""</f>
        <v/>
      </c>
      <c r="V628" t="s">
        <v>2322</v>
      </c>
      <c r="X628" t="s">
        <v>964</v>
      </c>
      <c r="Y628" t="s">
        <v>36</v>
      </c>
      <c r="Z628" t="str">
        <f>"85006"</f>
        <v>85006</v>
      </c>
      <c r="AA628" t="str">
        <f>""</f>
        <v/>
      </c>
      <c r="AB628" t="s">
        <v>516</v>
      </c>
    </row>
    <row r="629" spans="1:28" x14ac:dyDescent="0.25">
      <c r="A629">
        <v>4256</v>
      </c>
      <c r="B629" t="str">
        <f t="shared" si="86"/>
        <v>070401000</v>
      </c>
      <c r="C629" t="s">
        <v>2309</v>
      </c>
      <c r="D629">
        <v>5199</v>
      </c>
      <c r="E629" t="str">
        <f>"070401106"</f>
        <v>070401106</v>
      </c>
      <c r="F629" t="s">
        <v>2323</v>
      </c>
      <c r="G629" t="s">
        <v>42</v>
      </c>
      <c r="H629" t="s">
        <v>1318</v>
      </c>
      <c r="I629" t="s">
        <v>2310</v>
      </c>
      <c r="J629" t="s">
        <v>1935</v>
      </c>
      <c r="K629" t="str">
        <f t="shared" si="89"/>
        <v>6022573741</v>
      </c>
      <c r="L629" t="str">
        <f>""</f>
        <v/>
      </c>
      <c r="M629" t="str">
        <f t="shared" si="87"/>
        <v>6022573744</v>
      </c>
      <c r="N629" t="str">
        <f>""</f>
        <v/>
      </c>
      <c r="O629" t="s">
        <v>2311</v>
      </c>
      <c r="P629" t="s">
        <v>2312</v>
      </c>
      <c r="R629" t="s">
        <v>964</v>
      </c>
      <c r="S629" t="s">
        <v>36</v>
      </c>
      <c r="T629" t="str">
        <f t="shared" si="88"/>
        <v>85004</v>
      </c>
      <c r="U629" t="str">
        <f>""</f>
        <v/>
      </c>
      <c r="V629" t="s">
        <v>2324</v>
      </c>
      <c r="X629" t="s">
        <v>964</v>
      </c>
      <c r="Y629" t="s">
        <v>36</v>
      </c>
      <c r="Z629" t="str">
        <f>"85006"</f>
        <v>85006</v>
      </c>
      <c r="AA629" t="str">
        <f>""</f>
        <v/>
      </c>
      <c r="AB629" t="s">
        <v>516</v>
      </c>
    </row>
    <row r="630" spans="1:28" x14ac:dyDescent="0.25">
      <c r="A630">
        <v>4256</v>
      </c>
      <c r="B630" t="str">
        <f t="shared" si="86"/>
        <v>070401000</v>
      </c>
      <c r="C630" t="s">
        <v>2309</v>
      </c>
      <c r="D630">
        <v>5200</v>
      </c>
      <c r="E630" t="str">
        <f>"070401108"</f>
        <v>070401108</v>
      </c>
      <c r="F630" t="s">
        <v>2325</v>
      </c>
      <c r="G630" t="s">
        <v>42</v>
      </c>
      <c r="H630" t="s">
        <v>1318</v>
      </c>
      <c r="I630" t="s">
        <v>2310</v>
      </c>
      <c r="J630" t="s">
        <v>1935</v>
      </c>
      <c r="K630" t="str">
        <f t="shared" si="89"/>
        <v>6022573741</v>
      </c>
      <c r="L630" t="str">
        <f>""</f>
        <v/>
      </c>
      <c r="M630" t="str">
        <f t="shared" si="87"/>
        <v>6022573744</v>
      </c>
      <c r="N630" t="str">
        <f>""</f>
        <v/>
      </c>
      <c r="O630" t="s">
        <v>2311</v>
      </c>
      <c r="P630" t="s">
        <v>2312</v>
      </c>
      <c r="R630" t="s">
        <v>964</v>
      </c>
      <c r="S630" t="s">
        <v>36</v>
      </c>
      <c r="T630" t="str">
        <f t="shared" si="88"/>
        <v>85004</v>
      </c>
      <c r="U630" t="str">
        <f>""</f>
        <v/>
      </c>
      <c r="V630" t="s">
        <v>2326</v>
      </c>
      <c r="X630" t="s">
        <v>964</v>
      </c>
      <c r="Y630" t="s">
        <v>36</v>
      </c>
      <c r="Z630" t="str">
        <f>"85006"</f>
        <v>85006</v>
      </c>
      <c r="AA630" t="str">
        <f>""</f>
        <v/>
      </c>
      <c r="AB630" t="s">
        <v>516</v>
      </c>
    </row>
    <row r="631" spans="1:28" x14ac:dyDescent="0.25">
      <c r="A631">
        <v>4256</v>
      </c>
      <c r="B631" t="str">
        <f t="shared" si="86"/>
        <v>070401000</v>
      </c>
      <c r="C631" t="s">
        <v>2309</v>
      </c>
      <c r="D631">
        <v>5201</v>
      </c>
      <c r="E631" t="str">
        <f>"070401109"</f>
        <v>070401109</v>
      </c>
      <c r="F631" t="s">
        <v>2327</v>
      </c>
      <c r="G631" t="s">
        <v>42</v>
      </c>
      <c r="H631" t="s">
        <v>1318</v>
      </c>
      <c r="I631" t="s">
        <v>2310</v>
      </c>
      <c r="J631" t="s">
        <v>1935</v>
      </c>
      <c r="K631" t="str">
        <f t="shared" si="89"/>
        <v>6022573741</v>
      </c>
      <c r="L631" t="str">
        <f>""</f>
        <v/>
      </c>
      <c r="M631" t="str">
        <f t="shared" si="87"/>
        <v>6022573744</v>
      </c>
      <c r="N631" t="str">
        <f>""</f>
        <v/>
      </c>
      <c r="O631" t="s">
        <v>2311</v>
      </c>
      <c r="P631" t="s">
        <v>2312</v>
      </c>
      <c r="R631" t="s">
        <v>964</v>
      </c>
      <c r="S631" t="s">
        <v>36</v>
      </c>
      <c r="T631" t="str">
        <f t="shared" si="88"/>
        <v>85004</v>
      </c>
      <c r="U631" t="str">
        <f>""</f>
        <v/>
      </c>
      <c r="V631" t="s">
        <v>2328</v>
      </c>
      <c r="X631" t="s">
        <v>964</v>
      </c>
      <c r="Y631" t="s">
        <v>36</v>
      </c>
      <c r="Z631" t="str">
        <f>"85009"</f>
        <v>85009</v>
      </c>
      <c r="AA631" t="str">
        <f>""</f>
        <v/>
      </c>
      <c r="AB631" t="s">
        <v>516</v>
      </c>
    </row>
    <row r="632" spans="1:28" x14ac:dyDescent="0.25">
      <c r="A632">
        <v>4256</v>
      </c>
      <c r="B632" t="str">
        <f t="shared" si="86"/>
        <v>070401000</v>
      </c>
      <c r="C632" t="s">
        <v>2309</v>
      </c>
      <c r="D632">
        <v>5203</v>
      </c>
      <c r="E632" t="str">
        <f>"070401112"</f>
        <v>070401112</v>
      </c>
      <c r="F632" t="s">
        <v>2329</v>
      </c>
      <c r="G632" t="s">
        <v>42</v>
      </c>
      <c r="H632" t="s">
        <v>1318</v>
      </c>
      <c r="I632" t="s">
        <v>2310</v>
      </c>
      <c r="J632" t="s">
        <v>1935</v>
      </c>
      <c r="K632" t="str">
        <f t="shared" si="89"/>
        <v>6022573741</v>
      </c>
      <c r="L632" t="str">
        <f>""</f>
        <v/>
      </c>
      <c r="M632" t="str">
        <f t="shared" si="87"/>
        <v>6022573744</v>
      </c>
      <c r="N632" t="str">
        <f>""</f>
        <v/>
      </c>
      <c r="O632" t="s">
        <v>2311</v>
      </c>
      <c r="P632" t="s">
        <v>2312</v>
      </c>
      <c r="R632" t="s">
        <v>964</v>
      </c>
      <c r="S632" t="s">
        <v>36</v>
      </c>
      <c r="T632" t="str">
        <f t="shared" si="88"/>
        <v>85004</v>
      </c>
      <c r="U632" t="str">
        <f>""</f>
        <v/>
      </c>
      <c r="V632" t="s">
        <v>2330</v>
      </c>
      <c r="X632" t="s">
        <v>964</v>
      </c>
      <c r="Y632" t="s">
        <v>36</v>
      </c>
      <c r="Z632" t="str">
        <f>"85015"</f>
        <v>85015</v>
      </c>
      <c r="AA632" t="str">
        <f>""</f>
        <v/>
      </c>
      <c r="AB632" t="s">
        <v>516</v>
      </c>
    </row>
    <row r="633" spans="1:28" x14ac:dyDescent="0.25">
      <c r="A633">
        <v>4256</v>
      </c>
      <c r="B633" t="str">
        <f t="shared" si="86"/>
        <v>070401000</v>
      </c>
      <c r="C633" t="s">
        <v>2309</v>
      </c>
      <c r="D633">
        <v>5204</v>
      </c>
      <c r="E633" t="str">
        <f>"070401113"</f>
        <v>070401113</v>
      </c>
      <c r="F633" t="s">
        <v>2331</v>
      </c>
      <c r="G633" t="s">
        <v>42</v>
      </c>
      <c r="H633" t="s">
        <v>1318</v>
      </c>
      <c r="I633" t="s">
        <v>2310</v>
      </c>
      <c r="J633" t="s">
        <v>1935</v>
      </c>
      <c r="K633" t="str">
        <f t="shared" si="89"/>
        <v>6022573741</v>
      </c>
      <c r="L633" t="str">
        <f>""</f>
        <v/>
      </c>
      <c r="M633" t="str">
        <f t="shared" si="87"/>
        <v>6022573744</v>
      </c>
      <c r="N633" t="str">
        <f>""</f>
        <v/>
      </c>
      <c r="O633" t="s">
        <v>2311</v>
      </c>
      <c r="P633" t="s">
        <v>2312</v>
      </c>
      <c r="R633" t="s">
        <v>964</v>
      </c>
      <c r="S633" t="s">
        <v>36</v>
      </c>
      <c r="T633" t="str">
        <f t="shared" si="88"/>
        <v>85004</v>
      </c>
      <c r="U633" t="str">
        <f>""</f>
        <v/>
      </c>
      <c r="V633" t="s">
        <v>2332</v>
      </c>
      <c r="X633" t="s">
        <v>964</v>
      </c>
      <c r="Y633" t="s">
        <v>36</v>
      </c>
      <c r="Z633" t="str">
        <f>"85034"</f>
        <v>85034</v>
      </c>
      <c r="AA633" t="str">
        <f>""</f>
        <v/>
      </c>
      <c r="AB633" t="s">
        <v>516</v>
      </c>
    </row>
    <row r="634" spans="1:28" x14ac:dyDescent="0.25">
      <c r="A634">
        <v>4256</v>
      </c>
      <c r="B634" t="str">
        <f t="shared" si="86"/>
        <v>070401000</v>
      </c>
      <c r="C634" t="s">
        <v>2309</v>
      </c>
      <c r="D634">
        <v>5205</v>
      </c>
      <c r="E634" t="str">
        <f>"070401115"</f>
        <v>070401115</v>
      </c>
      <c r="F634" t="s">
        <v>2333</v>
      </c>
      <c r="G634" t="s">
        <v>42</v>
      </c>
      <c r="H634" t="s">
        <v>1318</v>
      </c>
      <c r="I634" t="s">
        <v>2310</v>
      </c>
      <c r="J634" t="s">
        <v>1935</v>
      </c>
      <c r="K634" t="str">
        <f t="shared" si="89"/>
        <v>6022573741</v>
      </c>
      <c r="L634" t="str">
        <f>""</f>
        <v/>
      </c>
      <c r="M634" t="str">
        <f t="shared" si="87"/>
        <v>6022573744</v>
      </c>
      <c r="N634" t="str">
        <f>""</f>
        <v/>
      </c>
      <c r="O634" t="s">
        <v>2311</v>
      </c>
      <c r="P634" t="s">
        <v>2312</v>
      </c>
      <c r="R634" t="s">
        <v>964</v>
      </c>
      <c r="S634" t="s">
        <v>36</v>
      </c>
      <c r="T634" t="str">
        <f t="shared" si="88"/>
        <v>85004</v>
      </c>
      <c r="U634" t="str">
        <f>""</f>
        <v/>
      </c>
      <c r="V634" t="s">
        <v>2334</v>
      </c>
      <c r="X634" t="s">
        <v>964</v>
      </c>
      <c r="Y634" t="s">
        <v>36</v>
      </c>
      <c r="Z634" t="str">
        <f>"85003"</f>
        <v>85003</v>
      </c>
      <c r="AA634" t="str">
        <f>""</f>
        <v/>
      </c>
      <c r="AB634" t="s">
        <v>516</v>
      </c>
    </row>
    <row r="635" spans="1:28" x14ac:dyDescent="0.25">
      <c r="A635">
        <v>4256</v>
      </c>
      <c r="B635" t="str">
        <f t="shared" si="86"/>
        <v>070401000</v>
      </c>
      <c r="C635" t="s">
        <v>2309</v>
      </c>
      <c r="D635">
        <v>5206</v>
      </c>
      <c r="E635" t="str">
        <f>"070401118"</f>
        <v>070401118</v>
      </c>
      <c r="F635" t="s">
        <v>1004</v>
      </c>
      <c r="G635" t="s">
        <v>42</v>
      </c>
      <c r="H635" t="s">
        <v>1318</v>
      </c>
      <c r="I635" t="s">
        <v>2310</v>
      </c>
      <c r="J635" t="s">
        <v>1935</v>
      </c>
      <c r="K635" t="str">
        <f t="shared" si="89"/>
        <v>6022573741</v>
      </c>
      <c r="L635" t="str">
        <f>""</f>
        <v/>
      </c>
      <c r="M635" t="str">
        <f t="shared" si="87"/>
        <v>6022573744</v>
      </c>
      <c r="N635" t="str">
        <f>""</f>
        <v/>
      </c>
      <c r="O635" t="s">
        <v>2311</v>
      </c>
      <c r="P635" t="s">
        <v>2312</v>
      </c>
      <c r="R635" t="s">
        <v>964</v>
      </c>
      <c r="S635" t="s">
        <v>36</v>
      </c>
      <c r="T635" t="str">
        <f t="shared" si="88"/>
        <v>85004</v>
      </c>
      <c r="U635" t="str">
        <f>""</f>
        <v/>
      </c>
      <c r="V635" t="s">
        <v>2335</v>
      </c>
      <c r="X635" t="s">
        <v>964</v>
      </c>
      <c r="Y635" t="s">
        <v>36</v>
      </c>
      <c r="Z635" t="str">
        <f>"85003"</f>
        <v>85003</v>
      </c>
      <c r="AA635" t="str">
        <f>""</f>
        <v/>
      </c>
      <c r="AB635" t="s">
        <v>516</v>
      </c>
    </row>
    <row r="636" spans="1:28" x14ac:dyDescent="0.25">
      <c r="A636">
        <v>4256</v>
      </c>
      <c r="B636" t="str">
        <f t="shared" si="86"/>
        <v>070401000</v>
      </c>
      <c r="C636" t="s">
        <v>2309</v>
      </c>
      <c r="D636">
        <v>5209</v>
      </c>
      <c r="E636" t="str">
        <f>"070401125"</f>
        <v>070401125</v>
      </c>
      <c r="F636" t="s">
        <v>1010</v>
      </c>
      <c r="G636" t="s">
        <v>42</v>
      </c>
      <c r="H636" t="s">
        <v>1318</v>
      </c>
      <c r="I636" t="s">
        <v>2310</v>
      </c>
      <c r="J636" t="s">
        <v>1935</v>
      </c>
      <c r="K636" t="str">
        <f t="shared" si="89"/>
        <v>6022573741</v>
      </c>
      <c r="L636" t="str">
        <f>""</f>
        <v/>
      </c>
      <c r="M636" t="str">
        <f t="shared" si="87"/>
        <v>6022573744</v>
      </c>
      <c r="N636" t="str">
        <f>""</f>
        <v/>
      </c>
      <c r="O636" t="s">
        <v>2311</v>
      </c>
      <c r="P636" t="s">
        <v>2312</v>
      </c>
      <c r="R636" t="s">
        <v>964</v>
      </c>
      <c r="S636" t="s">
        <v>36</v>
      </c>
      <c r="T636" t="str">
        <f t="shared" si="88"/>
        <v>85004</v>
      </c>
      <c r="U636" t="str">
        <f>""</f>
        <v/>
      </c>
      <c r="V636" t="s">
        <v>2336</v>
      </c>
      <c r="X636" t="s">
        <v>964</v>
      </c>
      <c r="Y636" t="s">
        <v>36</v>
      </c>
      <c r="Z636" t="str">
        <f>"85006"</f>
        <v>85006</v>
      </c>
      <c r="AA636" t="str">
        <f>""</f>
        <v/>
      </c>
      <c r="AB636" t="s">
        <v>516</v>
      </c>
    </row>
    <row r="637" spans="1:28" x14ac:dyDescent="0.25">
      <c r="A637">
        <v>4256</v>
      </c>
      <c r="B637" t="str">
        <f t="shared" si="86"/>
        <v>070401000</v>
      </c>
      <c r="C637" t="s">
        <v>2309</v>
      </c>
      <c r="D637">
        <v>79616</v>
      </c>
      <c r="E637" t="str">
        <f>"070401130"</f>
        <v>070401130</v>
      </c>
      <c r="F637" t="s">
        <v>2337</v>
      </c>
      <c r="G637" t="s">
        <v>42</v>
      </c>
      <c r="H637" t="s">
        <v>1318</v>
      </c>
      <c r="I637" t="s">
        <v>2310</v>
      </c>
      <c r="J637" t="s">
        <v>1913</v>
      </c>
      <c r="K637" t="str">
        <f t="shared" si="89"/>
        <v>6022573741</v>
      </c>
      <c r="L637" t="str">
        <f>""</f>
        <v/>
      </c>
      <c r="M637" t="str">
        <f t="shared" si="87"/>
        <v>6022573744</v>
      </c>
      <c r="N637" t="str">
        <f>""</f>
        <v/>
      </c>
      <c r="O637" t="s">
        <v>2311</v>
      </c>
      <c r="P637" t="s">
        <v>2312</v>
      </c>
      <c r="R637" t="s">
        <v>964</v>
      </c>
      <c r="S637" t="s">
        <v>36</v>
      </c>
      <c r="T637" t="str">
        <f t="shared" si="88"/>
        <v>85004</v>
      </c>
      <c r="U637" t="str">
        <f>""</f>
        <v/>
      </c>
      <c r="V637" t="s">
        <v>2338</v>
      </c>
      <c r="X637" t="s">
        <v>964</v>
      </c>
      <c r="Y637" t="s">
        <v>36</v>
      </c>
      <c r="Z637" t="str">
        <f>"85034"</f>
        <v>85034</v>
      </c>
      <c r="AA637" t="str">
        <f>""</f>
        <v/>
      </c>
      <c r="AB637" t="s">
        <v>516</v>
      </c>
    </row>
    <row r="638" spans="1:28" x14ac:dyDescent="0.25">
      <c r="A638">
        <v>4257</v>
      </c>
      <c r="B638" t="str">
        <f>"070402000"</f>
        <v>070402000</v>
      </c>
      <c r="C638" t="s">
        <v>2339</v>
      </c>
      <c r="D638">
        <v>0</v>
      </c>
      <c r="E638" t="str">
        <f>""</f>
        <v/>
      </c>
      <c r="G638" t="s">
        <v>29</v>
      </c>
      <c r="H638" t="s">
        <v>2340</v>
      </c>
      <c r="I638" t="s">
        <v>2341</v>
      </c>
      <c r="J638" t="s">
        <v>2342</v>
      </c>
      <c r="K638" t="str">
        <f>"6024772780"</f>
        <v>6024772780</v>
      </c>
      <c r="L638" t="str">
        <f>"4205"</f>
        <v>4205</v>
      </c>
      <c r="M638" t="str">
        <f>""</f>
        <v/>
      </c>
      <c r="N638" t="str">
        <f>""</f>
        <v/>
      </c>
      <c r="O638" t="s">
        <v>2343</v>
      </c>
      <c r="P638" t="s">
        <v>2344</v>
      </c>
      <c r="R638" t="s">
        <v>964</v>
      </c>
      <c r="S638" t="s">
        <v>36</v>
      </c>
      <c r="T638" t="str">
        <f>"85043"</f>
        <v>85043</v>
      </c>
      <c r="U638" t="str">
        <f>""</f>
        <v/>
      </c>
      <c r="V638" t="s">
        <v>2344</v>
      </c>
      <c r="X638" t="s">
        <v>964</v>
      </c>
      <c r="Y638" t="s">
        <v>36</v>
      </c>
      <c r="Z638" t="str">
        <f>"85043"</f>
        <v>85043</v>
      </c>
      <c r="AA638" t="str">
        <f>""</f>
        <v/>
      </c>
      <c r="AB638" t="s">
        <v>2345</v>
      </c>
    </row>
    <row r="639" spans="1:28" x14ac:dyDescent="0.25">
      <c r="A639">
        <v>4257</v>
      </c>
      <c r="B639" t="str">
        <f>"070402000"</f>
        <v>070402000</v>
      </c>
      <c r="C639" t="s">
        <v>2339</v>
      </c>
      <c r="D639">
        <v>5210</v>
      </c>
      <c r="E639" t="str">
        <f>"070402101"</f>
        <v>070402101</v>
      </c>
      <c r="F639" t="s">
        <v>2346</v>
      </c>
      <c r="G639" t="s">
        <v>42</v>
      </c>
      <c r="H639" t="s">
        <v>2340</v>
      </c>
      <c r="I639" t="s">
        <v>2341</v>
      </c>
      <c r="J639" t="s">
        <v>2347</v>
      </c>
      <c r="K639" t="str">
        <f>"6022721339"</f>
        <v>6022721339</v>
      </c>
      <c r="L639" t="str">
        <f>"1614"</f>
        <v>1614</v>
      </c>
      <c r="M639" t="str">
        <f>"6024778931"</f>
        <v>6024778931</v>
      </c>
      <c r="N639" t="str">
        <f>""</f>
        <v/>
      </c>
      <c r="O639" t="s">
        <v>2343</v>
      </c>
      <c r="P639" t="s">
        <v>2344</v>
      </c>
      <c r="R639" t="s">
        <v>964</v>
      </c>
      <c r="S639" t="s">
        <v>36</v>
      </c>
      <c r="T639" t="str">
        <f>"85043"</f>
        <v>85043</v>
      </c>
      <c r="U639" t="str">
        <f>""</f>
        <v/>
      </c>
      <c r="V639" t="s">
        <v>2344</v>
      </c>
      <c r="X639" t="s">
        <v>964</v>
      </c>
      <c r="Y639" t="s">
        <v>36</v>
      </c>
      <c r="Z639" t="str">
        <f>"85043"</f>
        <v>85043</v>
      </c>
      <c r="AA639" t="str">
        <f>""</f>
        <v/>
      </c>
      <c r="AB639" t="s">
        <v>2345</v>
      </c>
    </row>
    <row r="640" spans="1:28" x14ac:dyDescent="0.25">
      <c r="A640">
        <v>4257</v>
      </c>
      <c r="B640" t="str">
        <f>"070402000"</f>
        <v>070402000</v>
      </c>
      <c r="C640" t="s">
        <v>2339</v>
      </c>
      <c r="D640">
        <v>84660</v>
      </c>
      <c r="E640" t="str">
        <f>"070402102"</f>
        <v>070402102</v>
      </c>
      <c r="F640" t="s">
        <v>2348</v>
      </c>
      <c r="G640" t="s">
        <v>42</v>
      </c>
      <c r="H640" t="s">
        <v>2340</v>
      </c>
      <c r="I640" t="s">
        <v>2341</v>
      </c>
      <c r="J640" t="s">
        <v>2347</v>
      </c>
      <c r="K640" t="str">
        <f>"6024772780"</f>
        <v>6024772780</v>
      </c>
      <c r="L640" t="str">
        <f>"4205"</f>
        <v>4205</v>
      </c>
      <c r="M640" t="str">
        <f>"6024778931"</f>
        <v>6024778931</v>
      </c>
      <c r="N640" t="str">
        <f>""</f>
        <v/>
      </c>
      <c r="O640" t="s">
        <v>2343</v>
      </c>
      <c r="P640" t="s">
        <v>2349</v>
      </c>
      <c r="R640" t="s">
        <v>964</v>
      </c>
      <c r="S640" t="s">
        <v>36</v>
      </c>
      <c r="T640" t="str">
        <f>"85043"</f>
        <v>85043</v>
      </c>
      <c r="U640" t="str">
        <f>""</f>
        <v/>
      </c>
      <c r="V640" t="s">
        <v>2349</v>
      </c>
      <c r="X640" t="s">
        <v>964</v>
      </c>
      <c r="Y640" t="s">
        <v>36</v>
      </c>
      <c r="Z640" t="str">
        <f>"85043"</f>
        <v>85043</v>
      </c>
      <c r="AA640" t="str">
        <f>""</f>
        <v/>
      </c>
      <c r="AB640" t="s">
        <v>2345</v>
      </c>
    </row>
    <row r="641" spans="1:28" x14ac:dyDescent="0.25">
      <c r="A641">
        <v>4257</v>
      </c>
      <c r="B641" t="str">
        <f>"070402000"</f>
        <v>070402000</v>
      </c>
      <c r="C641" t="s">
        <v>2339</v>
      </c>
      <c r="D641">
        <v>92961</v>
      </c>
      <c r="E641" t="str">
        <f>"070402103"</f>
        <v>070402103</v>
      </c>
      <c r="F641" t="s">
        <v>2350</v>
      </c>
      <c r="G641" t="s">
        <v>42</v>
      </c>
      <c r="H641" t="s">
        <v>2340</v>
      </c>
      <c r="I641" t="s">
        <v>2341</v>
      </c>
      <c r="J641" t="s">
        <v>2351</v>
      </c>
      <c r="K641" t="str">
        <f>"6024772780"</f>
        <v>6024772780</v>
      </c>
      <c r="L641" t="str">
        <f>"4205"</f>
        <v>4205</v>
      </c>
      <c r="M641" t="str">
        <f>""</f>
        <v/>
      </c>
      <c r="N641" t="str">
        <f>""</f>
        <v/>
      </c>
      <c r="O641" t="s">
        <v>2343</v>
      </c>
      <c r="P641" t="s">
        <v>2352</v>
      </c>
      <c r="R641" t="s">
        <v>964</v>
      </c>
      <c r="S641" t="s">
        <v>36</v>
      </c>
      <c r="T641" t="str">
        <f>"85043"</f>
        <v>85043</v>
      </c>
      <c r="U641" t="str">
        <f>""</f>
        <v/>
      </c>
      <c r="V641" t="s">
        <v>2352</v>
      </c>
      <c r="X641" t="s">
        <v>964</v>
      </c>
      <c r="Y641" t="s">
        <v>36</v>
      </c>
      <c r="Z641" t="str">
        <f>"85043"</f>
        <v>85043</v>
      </c>
      <c r="AA641" t="str">
        <f>""</f>
        <v/>
      </c>
      <c r="AB641" t="s">
        <v>2345</v>
      </c>
    </row>
    <row r="642" spans="1:28" x14ac:dyDescent="0.25">
      <c r="A642">
        <v>4257</v>
      </c>
      <c r="B642" t="str">
        <f>"070402000"</f>
        <v>070402000</v>
      </c>
      <c r="C642" t="s">
        <v>2339</v>
      </c>
      <c r="D642">
        <v>181823</v>
      </c>
      <c r="E642" t="str">
        <f>"078239001"</f>
        <v>078239001</v>
      </c>
      <c r="F642" t="s">
        <v>2353</v>
      </c>
      <c r="G642" t="s">
        <v>42</v>
      </c>
      <c r="H642" t="s">
        <v>2340</v>
      </c>
      <c r="I642" t="s">
        <v>2341</v>
      </c>
      <c r="J642" t="s">
        <v>2351</v>
      </c>
      <c r="K642" t="str">
        <f>"6024772780"</f>
        <v>6024772780</v>
      </c>
      <c r="L642" t="str">
        <f>"4205"</f>
        <v>4205</v>
      </c>
      <c r="M642" t="str">
        <f>""</f>
        <v/>
      </c>
      <c r="N642" t="str">
        <f>""</f>
        <v/>
      </c>
      <c r="O642" t="s">
        <v>2343</v>
      </c>
      <c r="P642" t="s">
        <v>2352</v>
      </c>
      <c r="R642" t="s">
        <v>964</v>
      </c>
      <c r="S642" t="s">
        <v>36</v>
      </c>
      <c r="T642" t="str">
        <f>"85043"</f>
        <v>85043</v>
      </c>
      <c r="U642" t="str">
        <f>""</f>
        <v/>
      </c>
      <c r="V642" t="s">
        <v>2352</v>
      </c>
      <c r="X642" t="s">
        <v>964</v>
      </c>
      <c r="Y642" t="s">
        <v>36</v>
      </c>
      <c r="Z642" t="str">
        <f>"85043"</f>
        <v>85043</v>
      </c>
      <c r="AA642" t="str">
        <f>""</f>
        <v/>
      </c>
      <c r="AB642" t="s">
        <v>2345</v>
      </c>
    </row>
    <row r="643" spans="1:28" x14ac:dyDescent="0.25">
      <c r="A643">
        <v>4258</v>
      </c>
      <c r="B643" t="str">
        <f t="shared" ref="B643:B665" si="90">"070403000"</f>
        <v>070403000</v>
      </c>
      <c r="C643" t="s">
        <v>2354</v>
      </c>
      <c r="D643">
        <v>0</v>
      </c>
      <c r="E643" t="str">
        <f>""</f>
        <v/>
      </c>
      <c r="G643" t="s">
        <v>29</v>
      </c>
      <c r="H643" t="s">
        <v>1639</v>
      </c>
      <c r="I643" t="s">
        <v>2355</v>
      </c>
      <c r="J643" t="s">
        <v>2356</v>
      </c>
      <c r="K643" t="str">
        <f t="shared" ref="K643:K665" si="91">"4806421541"</f>
        <v>4806421541</v>
      </c>
      <c r="L643" t="str">
        <f t="shared" ref="L643:L665" si="92">"7606"</f>
        <v>7606</v>
      </c>
      <c r="M643" t="str">
        <f t="shared" ref="M643:M662" si="93">"4807841499"</f>
        <v>4807841499</v>
      </c>
      <c r="N643" t="str">
        <f>""</f>
        <v/>
      </c>
      <c r="O643" t="s">
        <v>2357</v>
      </c>
      <c r="P643" t="s">
        <v>2358</v>
      </c>
      <c r="Q643" t="s">
        <v>2359</v>
      </c>
      <c r="R643" t="s">
        <v>967</v>
      </c>
      <c r="S643" t="s">
        <v>36</v>
      </c>
      <c r="T643" t="str">
        <f t="shared" ref="T643:T665" si="94">"85281"</f>
        <v>85281</v>
      </c>
      <c r="U643" t="str">
        <f>""</f>
        <v/>
      </c>
      <c r="V643" t="s">
        <v>2358</v>
      </c>
      <c r="W643" t="s">
        <v>2359</v>
      </c>
      <c r="X643" t="s">
        <v>967</v>
      </c>
      <c r="Y643" t="s">
        <v>36</v>
      </c>
      <c r="Z643" t="str">
        <f>"85281"</f>
        <v>85281</v>
      </c>
      <c r="AA643" t="str">
        <f>""</f>
        <v/>
      </c>
      <c r="AB643" t="s">
        <v>1466</v>
      </c>
    </row>
    <row r="644" spans="1:28" x14ac:dyDescent="0.25">
      <c r="A644">
        <v>4258</v>
      </c>
      <c r="B644" t="str">
        <f t="shared" si="90"/>
        <v>070403000</v>
      </c>
      <c r="C644" t="s">
        <v>2354</v>
      </c>
      <c r="D644">
        <v>5211</v>
      </c>
      <c r="E644" t="str">
        <f>"070403110"</f>
        <v>070403110</v>
      </c>
      <c r="F644" t="s">
        <v>2360</v>
      </c>
      <c r="G644" t="s">
        <v>42</v>
      </c>
      <c r="H644" t="s">
        <v>1639</v>
      </c>
      <c r="I644" t="s">
        <v>2355</v>
      </c>
      <c r="J644" t="s">
        <v>2361</v>
      </c>
      <c r="K644" t="str">
        <f t="shared" si="91"/>
        <v>4806421541</v>
      </c>
      <c r="L644" t="str">
        <f t="shared" si="92"/>
        <v>7606</v>
      </c>
      <c r="M644" t="str">
        <f t="shared" si="93"/>
        <v>4807841499</v>
      </c>
      <c r="N644" t="str">
        <f>""</f>
        <v/>
      </c>
      <c r="O644" t="s">
        <v>2362</v>
      </c>
      <c r="P644" t="s">
        <v>2358</v>
      </c>
      <c r="Q644" t="s">
        <v>2359</v>
      </c>
      <c r="R644" t="s">
        <v>967</v>
      </c>
      <c r="S644" t="s">
        <v>36</v>
      </c>
      <c r="T644" t="str">
        <f t="shared" si="94"/>
        <v>85281</v>
      </c>
      <c r="U644" t="str">
        <f>""</f>
        <v/>
      </c>
      <c r="V644" t="s">
        <v>2363</v>
      </c>
      <c r="W644" t="s">
        <v>2364</v>
      </c>
      <c r="X644" t="s">
        <v>2365</v>
      </c>
      <c r="Y644" t="s">
        <v>36</v>
      </c>
      <c r="Z644" t="str">
        <f>"85283"</f>
        <v>85283</v>
      </c>
      <c r="AA644" t="str">
        <f>""</f>
        <v/>
      </c>
      <c r="AB644" t="s">
        <v>1466</v>
      </c>
    </row>
    <row r="645" spans="1:28" x14ac:dyDescent="0.25">
      <c r="A645">
        <v>4258</v>
      </c>
      <c r="B645" t="str">
        <f t="shared" si="90"/>
        <v>070403000</v>
      </c>
      <c r="C645" t="s">
        <v>2354</v>
      </c>
      <c r="D645">
        <v>5212</v>
      </c>
      <c r="E645" t="str">
        <f>"070403111"</f>
        <v>070403111</v>
      </c>
      <c r="F645" t="s">
        <v>2366</v>
      </c>
      <c r="G645" t="s">
        <v>42</v>
      </c>
      <c r="H645" t="s">
        <v>1639</v>
      </c>
      <c r="I645" t="s">
        <v>2355</v>
      </c>
      <c r="J645" t="s">
        <v>2361</v>
      </c>
      <c r="K645" t="str">
        <f t="shared" si="91"/>
        <v>4806421541</v>
      </c>
      <c r="L645" t="str">
        <f t="shared" si="92"/>
        <v>7606</v>
      </c>
      <c r="M645" t="str">
        <f t="shared" si="93"/>
        <v>4807841499</v>
      </c>
      <c r="N645" t="str">
        <f>""</f>
        <v/>
      </c>
      <c r="O645" t="s">
        <v>2362</v>
      </c>
      <c r="P645" t="s">
        <v>2358</v>
      </c>
      <c r="Q645" t="s">
        <v>2359</v>
      </c>
      <c r="R645" t="s">
        <v>967</v>
      </c>
      <c r="S645" t="s">
        <v>36</v>
      </c>
      <c r="T645" t="str">
        <f t="shared" si="94"/>
        <v>85281</v>
      </c>
      <c r="U645" t="str">
        <f>""</f>
        <v/>
      </c>
      <c r="V645" t="s">
        <v>2366</v>
      </c>
      <c r="W645" t="s">
        <v>2367</v>
      </c>
      <c r="X645" t="s">
        <v>967</v>
      </c>
      <c r="Y645" t="s">
        <v>36</v>
      </c>
      <c r="Z645" t="str">
        <f>"85282"</f>
        <v>85282</v>
      </c>
      <c r="AA645" t="str">
        <f>""</f>
        <v/>
      </c>
      <c r="AB645" t="s">
        <v>1466</v>
      </c>
    </row>
    <row r="646" spans="1:28" x14ac:dyDescent="0.25">
      <c r="A646">
        <v>4258</v>
      </c>
      <c r="B646" t="str">
        <f t="shared" si="90"/>
        <v>070403000</v>
      </c>
      <c r="C646" t="s">
        <v>2354</v>
      </c>
      <c r="D646">
        <v>5213</v>
      </c>
      <c r="E646" t="str">
        <f>"070403113"</f>
        <v>070403113</v>
      </c>
      <c r="F646" t="s">
        <v>2368</v>
      </c>
      <c r="G646" t="s">
        <v>42</v>
      </c>
      <c r="H646" t="s">
        <v>1639</v>
      </c>
      <c r="I646" t="s">
        <v>2355</v>
      </c>
      <c r="J646" t="s">
        <v>2361</v>
      </c>
      <c r="K646" t="str">
        <f t="shared" si="91"/>
        <v>4806421541</v>
      </c>
      <c r="L646" t="str">
        <f t="shared" si="92"/>
        <v>7606</v>
      </c>
      <c r="M646" t="str">
        <f t="shared" si="93"/>
        <v>4807841499</v>
      </c>
      <c r="N646" t="str">
        <f>""</f>
        <v/>
      </c>
      <c r="O646" t="s">
        <v>2362</v>
      </c>
      <c r="P646" t="s">
        <v>2358</v>
      </c>
      <c r="Q646" t="s">
        <v>2359</v>
      </c>
      <c r="R646" t="s">
        <v>967</v>
      </c>
      <c r="S646" t="s">
        <v>36</v>
      </c>
      <c r="T646" t="str">
        <f t="shared" si="94"/>
        <v>85281</v>
      </c>
      <c r="U646" t="str">
        <f>""</f>
        <v/>
      </c>
      <c r="V646" t="s">
        <v>2369</v>
      </c>
      <c r="W646" t="s">
        <v>2370</v>
      </c>
      <c r="X646" t="s">
        <v>967</v>
      </c>
      <c r="Y646" t="s">
        <v>36</v>
      </c>
      <c r="Z646" t="str">
        <f>"85282"</f>
        <v>85282</v>
      </c>
      <c r="AA646" t="str">
        <f>""</f>
        <v/>
      </c>
      <c r="AB646" t="s">
        <v>1466</v>
      </c>
    </row>
    <row r="647" spans="1:28" x14ac:dyDescent="0.25">
      <c r="A647">
        <v>4258</v>
      </c>
      <c r="B647" t="str">
        <f t="shared" si="90"/>
        <v>070403000</v>
      </c>
      <c r="C647" t="s">
        <v>2354</v>
      </c>
      <c r="D647">
        <v>5214</v>
      </c>
      <c r="E647" t="str">
        <f>"070403114"</f>
        <v>070403114</v>
      </c>
      <c r="F647" t="s">
        <v>2371</v>
      </c>
      <c r="G647" t="s">
        <v>42</v>
      </c>
      <c r="H647" t="s">
        <v>1639</v>
      </c>
      <c r="I647" t="s">
        <v>2355</v>
      </c>
      <c r="J647" t="s">
        <v>2372</v>
      </c>
      <c r="K647" t="str">
        <f t="shared" si="91"/>
        <v>4806421541</v>
      </c>
      <c r="L647" t="str">
        <f t="shared" si="92"/>
        <v>7606</v>
      </c>
      <c r="M647" t="str">
        <f t="shared" si="93"/>
        <v>4807841499</v>
      </c>
      <c r="N647" t="str">
        <f>""</f>
        <v/>
      </c>
      <c r="O647" t="s">
        <v>2362</v>
      </c>
      <c r="P647" t="s">
        <v>2358</v>
      </c>
      <c r="Q647" t="s">
        <v>2359</v>
      </c>
      <c r="R647" t="s">
        <v>967</v>
      </c>
      <c r="S647" t="s">
        <v>36</v>
      </c>
      <c r="T647" t="str">
        <f t="shared" si="94"/>
        <v>85281</v>
      </c>
      <c r="U647" t="str">
        <f>""</f>
        <v/>
      </c>
      <c r="V647" t="s">
        <v>2373</v>
      </c>
      <c r="W647" t="s">
        <v>2374</v>
      </c>
      <c r="X647" t="s">
        <v>967</v>
      </c>
      <c r="Y647" t="s">
        <v>36</v>
      </c>
      <c r="Z647" t="str">
        <f>"85281"</f>
        <v>85281</v>
      </c>
      <c r="AA647" t="str">
        <f>""</f>
        <v/>
      </c>
      <c r="AB647" t="s">
        <v>1466</v>
      </c>
    </row>
    <row r="648" spans="1:28" x14ac:dyDescent="0.25">
      <c r="A648">
        <v>4258</v>
      </c>
      <c r="B648" t="str">
        <f t="shared" si="90"/>
        <v>070403000</v>
      </c>
      <c r="C648" t="s">
        <v>2354</v>
      </c>
      <c r="D648">
        <v>5215</v>
      </c>
      <c r="E648" t="str">
        <f>"070403115"</f>
        <v>070403115</v>
      </c>
      <c r="F648" t="s">
        <v>2375</v>
      </c>
      <c r="G648" t="s">
        <v>42</v>
      </c>
      <c r="H648" t="s">
        <v>1639</v>
      </c>
      <c r="I648" t="s">
        <v>2355</v>
      </c>
      <c r="J648" t="s">
        <v>2361</v>
      </c>
      <c r="K648" t="str">
        <f t="shared" si="91"/>
        <v>4806421541</v>
      </c>
      <c r="L648" t="str">
        <f t="shared" si="92"/>
        <v>7606</v>
      </c>
      <c r="M648" t="str">
        <f t="shared" si="93"/>
        <v>4807841499</v>
      </c>
      <c r="N648" t="str">
        <f>""</f>
        <v/>
      </c>
      <c r="O648" t="s">
        <v>2362</v>
      </c>
      <c r="P648" t="s">
        <v>2358</v>
      </c>
      <c r="Q648" t="s">
        <v>2376</v>
      </c>
      <c r="R648" t="s">
        <v>967</v>
      </c>
      <c r="S648" t="s">
        <v>36</v>
      </c>
      <c r="T648" t="str">
        <f t="shared" si="94"/>
        <v>85281</v>
      </c>
      <c r="U648" t="str">
        <f>""</f>
        <v/>
      </c>
      <c r="V648" t="s">
        <v>2377</v>
      </c>
      <c r="W648" t="s">
        <v>2378</v>
      </c>
      <c r="X648" t="s">
        <v>967</v>
      </c>
      <c r="Y648" t="s">
        <v>36</v>
      </c>
      <c r="Z648" t="str">
        <f>"85281"</f>
        <v>85281</v>
      </c>
      <c r="AA648" t="str">
        <f>""</f>
        <v/>
      </c>
      <c r="AB648" t="s">
        <v>1466</v>
      </c>
    </row>
    <row r="649" spans="1:28" x14ac:dyDescent="0.25">
      <c r="A649">
        <v>4258</v>
      </c>
      <c r="B649" t="str">
        <f t="shared" si="90"/>
        <v>070403000</v>
      </c>
      <c r="C649" t="s">
        <v>2354</v>
      </c>
      <c r="D649">
        <v>5216</v>
      </c>
      <c r="E649" t="str">
        <f>"070403117"</f>
        <v>070403117</v>
      </c>
      <c r="F649" t="s">
        <v>2379</v>
      </c>
      <c r="G649" t="s">
        <v>42</v>
      </c>
      <c r="H649" t="s">
        <v>1639</v>
      </c>
      <c r="I649" t="s">
        <v>2355</v>
      </c>
      <c r="J649" t="s">
        <v>2372</v>
      </c>
      <c r="K649" t="str">
        <f t="shared" si="91"/>
        <v>4806421541</v>
      </c>
      <c r="L649" t="str">
        <f t="shared" si="92"/>
        <v>7606</v>
      </c>
      <c r="M649" t="str">
        <f t="shared" si="93"/>
        <v>4807841499</v>
      </c>
      <c r="N649" t="str">
        <f>""</f>
        <v/>
      </c>
      <c r="O649" t="s">
        <v>2362</v>
      </c>
      <c r="P649" t="s">
        <v>2358</v>
      </c>
      <c r="Q649" t="s">
        <v>2376</v>
      </c>
      <c r="R649" t="s">
        <v>967</v>
      </c>
      <c r="S649" t="s">
        <v>36</v>
      </c>
      <c r="T649" t="str">
        <f t="shared" si="94"/>
        <v>85281</v>
      </c>
      <c r="U649" t="str">
        <f>""</f>
        <v/>
      </c>
      <c r="V649" t="s">
        <v>2379</v>
      </c>
      <c r="W649" t="s">
        <v>2380</v>
      </c>
      <c r="X649" t="s">
        <v>967</v>
      </c>
      <c r="Y649" t="s">
        <v>36</v>
      </c>
      <c r="Z649" t="str">
        <f>"85281"</f>
        <v>85281</v>
      </c>
      <c r="AA649" t="str">
        <f>""</f>
        <v/>
      </c>
      <c r="AB649" t="s">
        <v>1466</v>
      </c>
    </row>
    <row r="650" spans="1:28" x14ac:dyDescent="0.25">
      <c r="A650">
        <v>4258</v>
      </c>
      <c r="B650" t="str">
        <f t="shared" si="90"/>
        <v>070403000</v>
      </c>
      <c r="C650" t="s">
        <v>2354</v>
      </c>
      <c r="D650">
        <v>5217</v>
      </c>
      <c r="E650" t="str">
        <f>"070403118"</f>
        <v>070403118</v>
      </c>
      <c r="F650" t="s">
        <v>2381</v>
      </c>
      <c r="G650" t="s">
        <v>42</v>
      </c>
      <c r="H650" t="s">
        <v>1639</v>
      </c>
      <c r="I650" t="s">
        <v>2355</v>
      </c>
      <c r="J650" t="s">
        <v>2382</v>
      </c>
      <c r="K650" t="str">
        <f t="shared" si="91"/>
        <v>4806421541</v>
      </c>
      <c r="L650" t="str">
        <f t="shared" si="92"/>
        <v>7606</v>
      </c>
      <c r="M650" t="str">
        <f t="shared" si="93"/>
        <v>4807841499</v>
      </c>
      <c r="N650" t="str">
        <f>""</f>
        <v/>
      </c>
      <c r="O650" t="s">
        <v>2383</v>
      </c>
      <c r="P650" t="s">
        <v>2376</v>
      </c>
      <c r="R650" t="s">
        <v>967</v>
      </c>
      <c r="S650" t="s">
        <v>36</v>
      </c>
      <c r="T650" t="str">
        <f t="shared" si="94"/>
        <v>85281</v>
      </c>
      <c r="U650" t="str">
        <f>""</f>
        <v/>
      </c>
      <c r="V650" t="s">
        <v>2384</v>
      </c>
      <c r="X650" t="s">
        <v>967</v>
      </c>
      <c r="Y650" t="s">
        <v>36</v>
      </c>
      <c r="Z650" t="str">
        <f>"85282"</f>
        <v>85282</v>
      </c>
      <c r="AA650" t="str">
        <f>""</f>
        <v/>
      </c>
      <c r="AB650" t="s">
        <v>1466</v>
      </c>
    </row>
    <row r="651" spans="1:28" x14ac:dyDescent="0.25">
      <c r="A651">
        <v>4258</v>
      </c>
      <c r="B651" t="str">
        <f t="shared" si="90"/>
        <v>070403000</v>
      </c>
      <c r="C651" t="s">
        <v>2354</v>
      </c>
      <c r="D651">
        <v>5219</v>
      </c>
      <c r="E651" t="str">
        <f>"070403120"</f>
        <v>070403120</v>
      </c>
      <c r="F651" t="s">
        <v>2385</v>
      </c>
      <c r="G651" t="s">
        <v>42</v>
      </c>
      <c r="H651" t="s">
        <v>1639</v>
      </c>
      <c r="I651" t="s">
        <v>2355</v>
      </c>
      <c r="J651" t="s">
        <v>2361</v>
      </c>
      <c r="K651" t="str">
        <f t="shared" si="91"/>
        <v>4806421541</v>
      </c>
      <c r="L651" t="str">
        <f t="shared" si="92"/>
        <v>7606</v>
      </c>
      <c r="M651" t="str">
        <f t="shared" si="93"/>
        <v>4807841499</v>
      </c>
      <c r="N651" t="str">
        <f>""</f>
        <v/>
      </c>
      <c r="O651" t="s">
        <v>2362</v>
      </c>
      <c r="P651" t="s">
        <v>2358</v>
      </c>
      <c r="Q651" t="s">
        <v>2359</v>
      </c>
      <c r="R651" t="s">
        <v>967</v>
      </c>
      <c r="S651" t="s">
        <v>36</v>
      </c>
      <c r="T651" t="str">
        <f t="shared" si="94"/>
        <v>85281</v>
      </c>
      <c r="U651" t="str">
        <f>""</f>
        <v/>
      </c>
      <c r="V651" t="s">
        <v>2386</v>
      </c>
      <c r="W651" t="s">
        <v>2387</v>
      </c>
      <c r="X651" t="s">
        <v>967</v>
      </c>
      <c r="Y651" t="s">
        <v>36</v>
      </c>
      <c r="Z651" t="str">
        <f>"85282"</f>
        <v>85282</v>
      </c>
      <c r="AA651" t="str">
        <f>""</f>
        <v/>
      </c>
      <c r="AB651" t="s">
        <v>1466</v>
      </c>
    </row>
    <row r="652" spans="1:28" x14ac:dyDescent="0.25">
      <c r="A652">
        <v>4258</v>
      </c>
      <c r="B652" t="str">
        <f t="shared" si="90"/>
        <v>070403000</v>
      </c>
      <c r="C652" t="s">
        <v>2354</v>
      </c>
      <c r="D652">
        <v>5220</v>
      </c>
      <c r="E652" t="str">
        <f>"070403121"</f>
        <v>070403121</v>
      </c>
      <c r="F652" t="s">
        <v>2388</v>
      </c>
      <c r="G652" t="s">
        <v>42</v>
      </c>
      <c r="H652" t="s">
        <v>1639</v>
      </c>
      <c r="I652" t="s">
        <v>2355</v>
      </c>
      <c r="J652" t="s">
        <v>2361</v>
      </c>
      <c r="K652" t="str">
        <f t="shared" si="91"/>
        <v>4806421541</v>
      </c>
      <c r="L652" t="str">
        <f t="shared" si="92"/>
        <v>7606</v>
      </c>
      <c r="M652" t="str">
        <f t="shared" si="93"/>
        <v>4807841499</v>
      </c>
      <c r="N652" t="str">
        <f>""</f>
        <v/>
      </c>
      <c r="O652" t="s">
        <v>2362</v>
      </c>
      <c r="P652" t="s">
        <v>2358</v>
      </c>
      <c r="Q652" t="s">
        <v>2359</v>
      </c>
      <c r="R652" t="s">
        <v>967</v>
      </c>
      <c r="S652" t="s">
        <v>36</v>
      </c>
      <c r="T652" t="str">
        <f t="shared" si="94"/>
        <v>85281</v>
      </c>
      <c r="U652" t="str">
        <f>""</f>
        <v/>
      </c>
      <c r="V652" t="s">
        <v>2389</v>
      </c>
      <c r="W652" t="s">
        <v>2390</v>
      </c>
      <c r="X652" t="s">
        <v>967</v>
      </c>
      <c r="Y652" t="s">
        <v>36</v>
      </c>
      <c r="Z652" t="str">
        <f>"85281"</f>
        <v>85281</v>
      </c>
      <c r="AA652" t="str">
        <f>""</f>
        <v/>
      </c>
      <c r="AB652" t="s">
        <v>1466</v>
      </c>
    </row>
    <row r="653" spans="1:28" x14ac:dyDescent="0.25">
      <c r="A653">
        <v>4258</v>
      </c>
      <c r="B653" t="str">
        <f t="shared" si="90"/>
        <v>070403000</v>
      </c>
      <c r="C653" t="s">
        <v>2354</v>
      </c>
      <c r="D653">
        <v>5221</v>
      </c>
      <c r="E653" t="str">
        <f>"070403122"</f>
        <v>070403122</v>
      </c>
      <c r="F653" t="s">
        <v>2391</v>
      </c>
      <c r="G653" t="s">
        <v>42</v>
      </c>
      <c r="H653" t="s">
        <v>1639</v>
      </c>
      <c r="I653" t="s">
        <v>2355</v>
      </c>
      <c r="J653" t="s">
        <v>2361</v>
      </c>
      <c r="K653" t="str">
        <f t="shared" si="91"/>
        <v>4806421541</v>
      </c>
      <c r="L653" t="str">
        <f t="shared" si="92"/>
        <v>7606</v>
      </c>
      <c r="M653" t="str">
        <f t="shared" si="93"/>
        <v>4807841499</v>
      </c>
      <c r="N653" t="str">
        <f>""</f>
        <v/>
      </c>
      <c r="O653" t="s">
        <v>2362</v>
      </c>
      <c r="P653" t="s">
        <v>2358</v>
      </c>
      <c r="Q653" t="s">
        <v>2359</v>
      </c>
      <c r="R653" t="s">
        <v>967</v>
      </c>
      <c r="S653" t="s">
        <v>36</v>
      </c>
      <c r="T653" t="str">
        <f t="shared" si="94"/>
        <v>85281</v>
      </c>
      <c r="U653" t="str">
        <f>""</f>
        <v/>
      </c>
      <c r="V653" t="s">
        <v>2392</v>
      </c>
      <c r="W653" t="s">
        <v>2393</v>
      </c>
      <c r="X653" t="s">
        <v>967</v>
      </c>
      <c r="Y653" t="s">
        <v>36</v>
      </c>
      <c r="Z653" t="str">
        <f>"85282"</f>
        <v>85282</v>
      </c>
      <c r="AA653" t="str">
        <f>""</f>
        <v/>
      </c>
      <c r="AB653" t="s">
        <v>1466</v>
      </c>
    </row>
    <row r="654" spans="1:28" x14ac:dyDescent="0.25">
      <c r="A654">
        <v>4258</v>
      </c>
      <c r="B654" t="str">
        <f t="shared" si="90"/>
        <v>070403000</v>
      </c>
      <c r="C654" t="s">
        <v>2354</v>
      </c>
      <c r="D654">
        <v>5222</v>
      </c>
      <c r="E654" t="str">
        <f>"070403123"</f>
        <v>070403123</v>
      </c>
      <c r="F654" t="s">
        <v>2394</v>
      </c>
      <c r="G654" t="s">
        <v>42</v>
      </c>
      <c r="H654" t="s">
        <v>1639</v>
      </c>
      <c r="I654" t="s">
        <v>2355</v>
      </c>
      <c r="J654" t="s">
        <v>2361</v>
      </c>
      <c r="K654" t="str">
        <f t="shared" si="91"/>
        <v>4806421541</v>
      </c>
      <c r="L654" t="str">
        <f t="shared" si="92"/>
        <v>7606</v>
      </c>
      <c r="M654" t="str">
        <f t="shared" si="93"/>
        <v>4807841499</v>
      </c>
      <c r="N654" t="str">
        <f>""</f>
        <v/>
      </c>
      <c r="O654" t="s">
        <v>2362</v>
      </c>
      <c r="P654" t="s">
        <v>2395</v>
      </c>
      <c r="Q654" t="s">
        <v>2359</v>
      </c>
      <c r="R654" t="s">
        <v>967</v>
      </c>
      <c r="S654" t="s">
        <v>36</v>
      </c>
      <c r="T654" t="str">
        <f t="shared" si="94"/>
        <v>85281</v>
      </c>
      <c r="U654" t="str">
        <f>""</f>
        <v/>
      </c>
      <c r="V654" t="s">
        <v>2396</v>
      </c>
      <c r="W654" t="s">
        <v>2397</v>
      </c>
      <c r="X654" t="s">
        <v>967</v>
      </c>
      <c r="Y654" t="s">
        <v>36</v>
      </c>
      <c r="Z654" t="str">
        <f>"85282"</f>
        <v>85282</v>
      </c>
      <c r="AA654" t="str">
        <f>""</f>
        <v/>
      </c>
      <c r="AB654" t="s">
        <v>1466</v>
      </c>
    </row>
    <row r="655" spans="1:28" x14ac:dyDescent="0.25">
      <c r="A655">
        <v>4258</v>
      </c>
      <c r="B655" t="str">
        <f t="shared" si="90"/>
        <v>070403000</v>
      </c>
      <c r="C655" t="s">
        <v>2354</v>
      </c>
      <c r="D655">
        <v>5224</v>
      </c>
      <c r="E655" t="str">
        <f>"070403126"</f>
        <v>070403126</v>
      </c>
      <c r="F655" t="s">
        <v>2398</v>
      </c>
      <c r="G655" t="s">
        <v>42</v>
      </c>
      <c r="H655" t="s">
        <v>1639</v>
      </c>
      <c r="I655" t="s">
        <v>2355</v>
      </c>
      <c r="J655" t="s">
        <v>2361</v>
      </c>
      <c r="K655" t="str">
        <f t="shared" si="91"/>
        <v>4806421541</v>
      </c>
      <c r="L655" t="str">
        <f t="shared" si="92"/>
        <v>7606</v>
      </c>
      <c r="M655" t="str">
        <f t="shared" si="93"/>
        <v>4807841499</v>
      </c>
      <c r="N655" t="str">
        <f>""</f>
        <v/>
      </c>
      <c r="O655" t="s">
        <v>2362</v>
      </c>
      <c r="P655" t="s">
        <v>2358</v>
      </c>
      <c r="Q655" t="s">
        <v>2359</v>
      </c>
      <c r="R655" t="s">
        <v>967</v>
      </c>
      <c r="S655" t="s">
        <v>36</v>
      </c>
      <c r="T655" t="str">
        <f t="shared" si="94"/>
        <v>85281</v>
      </c>
      <c r="U655" t="str">
        <f>""</f>
        <v/>
      </c>
      <c r="V655" t="s">
        <v>2399</v>
      </c>
      <c r="W655" t="s">
        <v>2400</v>
      </c>
      <c r="X655" t="s">
        <v>964</v>
      </c>
      <c r="Y655" t="s">
        <v>36</v>
      </c>
      <c r="Z655" t="str">
        <f>"85040"</f>
        <v>85040</v>
      </c>
      <c r="AA655" t="str">
        <f>""</f>
        <v/>
      </c>
      <c r="AB655" t="s">
        <v>1466</v>
      </c>
    </row>
    <row r="656" spans="1:28" x14ac:dyDescent="0.25">
      <c r="A656">
        <v>4258</v>
      </c>
      <c r="B656" t="str">
        <f t="shared" si="90"/>
        <v>070403000</v>
      </c>
      <c r="C656" t="s">
        <v>2354</v>
      </c>
      <c r="D656">
        <v>5225</v>
      </c>
      <c r="E656" t="str">
        <f>"070403127"</f>
        <v>070403127</v>
      </c>
      <c r="F656" t="s">
        <v>2401</v>
      </c>
      <c r="G656" t="s">
        <v>42</v>
      </c>
      <c r="H656" t="s">
        <v>1639</v>
      </c>
      <c r="I656" t="s">
        <v>2355</v>
      </c>
      <c r="J656" t="s">
        <v>2382</v>
      </c>
      <c r="K656" t="str">
        <f t="shared" si="91"/>
        <v>4806421541</v>
      </c>
      <c r="L656" t="str">
        <f t="shared" si="92"/>
        <v>7606</v>
      </c>
      <c r="M656" t="str">
        <f t="shared" si="93"/>
        <v>4807841499</v>
      </c>
      <c r="N656" t="str">
        <f>""</f>
        <v/>
      </c>
      <c r="O656" t="s">
        <v>2362</v>
      </c>
      <c r="P656" t="s">
        <v>2358</v>
      </c>
      <c r="Q656" t="s">
        <v>2359</v>
      </c>
      <c r="R656" t="s">
        <v>967</v>
      </c>
      <c r="S656" t="s">
        <v>36</v>
      </c>
      <c r="T656" t="str">
        <f t="shared" si="94"/>
        <v>85281</v>
      </c>
      <c r="U656" t="str">
        <f>""</f>
        <v/>
      </c>
      <c r="V656" t="s">
        <v>2401</v>
      </c>
      <c r="W656" t="s">
        <v>2402</v>
      </c>
      <c r="X656" t="s">
        <v>967</v>
      </c>
      <c r="Y656" t="s">
        <v>36</v>
      </c>
      <c r="Z656" t="str">
        <f>"85283"</f>
        <v>85283</v>
      </c>
      <c r="AA656" t="str">
        <f>""</f>
        <v/>
      </c>
      <c r="AB656" t="s">
        <v>1466</v>
      </c>
    </row>
    <row r="657" spans="1:28" x14ac:dyDescent="0.25">
      <c r="A657">
        <v>4258</v>
      </c>
      <c r="B657" t="str">
        <f t="shared" si="90"/>
        <v>070403000</v>
      </c>
      <c r="C657" t="s">
        <v>2354</v>
      </c>
      <c r="D657">
        <v>5226</v>
      </c>
      <c r="E657" t="str">
        <f>"070403128"</f>
        <v>070403128</v>
      </c>
      <c r="F657" t="s">
        <v>2403</v>
      </c>
      <c r="G657" t="s">
        <v>42</v>
      </c>
      <c r="H657" t="s">
        <v>1639</v>
      </c>
      <c r="I657" t="s">
        <v>2355</v>
      </c>
      <c r="J657" t="s">
        <v>2404</v>
      </c>
      <c r="K657" t="str">
        <f t="shared" si="91"/>
        <v>4806421541</v>
      </c>
      <c r="L657" t="str">
        <f t="shared" si="92"/>
        <v>7606</v>
      </c>
      <c r="M657" t="str">
        <f t="shared" si="93"/>
        <v>4807841499</v>
      </c>
      <c r="N657" t="str">
        <f>""</f>
        <v/>
      </c>
      <c r="O657" t="s">
        <v>2362</v>
      </c>
      <c r="P657" t="s">
        <v>2358</v>
      </c>
      <c r="Q657" t="s">
        <v>2376</v>
      </c>
      <c r="R657" t="s">
        <v>967</v>
      </c>
      <c r="S657" t="s">
        <v>36</v>
      </c>
      <c r="T657" t="str">
        <f t="shared" si="94"/>
        <v>85281</v>
      </c>
      <c r="U657" t="str">
        <f>""</f>
        <v/>
      </c>
      <c r="V657" t="s">
        <v>2403</v>
      </c>
      <c r="W657" t="s">
        <v>2405</v>
      </c>
      <c r="X657" t="s">
        <v>967</v>
      </c>
      <c r="Y657" t="s">
        <v>36</v>
      </c>
      <c r="Z657" t="str">
        <f>"85283"</f>
        <v>85283</v>
      </c>
      <c r="AA657" t="str">
        <f>""</f>
        <v/>
      </c>
      <c r="AB657" t="s">
        <v>1466</v>
      </c>
    </row>
    <row r="658" spans="1:28" x14ac:dyDescent="0.25">
      <c r="A658">
        <v>4258</v>
      </c>
      <c r="B658" t="str">
        <f t="shared" si="90"/>
        <v>070403000</v>
      </c>
      <c r="C658" t="s">
        <v>2354</v>
      </c>
      <c r="D658">
        <v>5227</v>
      </c>
      <c r="E658" t="str">
        <f>"070403129"</f>
        <v>070403129</v>
      </c>
      <c r="F658" t="s">
        <v>2406</v>
      </c>
      <c r="G658" t="s">
        <v>42</v>
      </c>
      <c r="H658" t="s">
        <v>1639</v>
      </c>
      <c r="I658" t="s">
        <v>2355</v>
      </c>
      <c r="J658" t="s">
        <v>2361</v>
      </c>
      <c r="K658" t="str">
        <f t="shared" si="91"/>
        <v>4806421541</v>
      </c>
      <c r="L658" t="str">
        <f t="shared" si="92"/>
        <v>7606</v>
      </c>
      <c r="M658" t="str">
        <f t="shared" si="93"/>
        <v>4807841499</v>
      </c>
      <c r="N658" t="str">
        <f>""</f>
        <v/>
      </c>
      <c r="O658" t="s">
        <v>2362</v>
      </c>
      <c r="P658" t="s">
        <v>2358</v>
      </c>
      <c r="Q658" t="s">
        <v>2359</v>
      </c>
      <c r="R658" t="s">
        <v>967</v>
      </c>
      <c r="S658" t="s">
        <v>36</v>
      </c>
      <c r="T658" t="str">
        <f t="shared" si="94"/>
        <v>85281</v>
      </c>
      <c r="U658" t="str">
        <f>""</f>
        <v/>
      </c>
      <c r="V658" t="s">
        <v>2407</v>
      </c>
      <c r="W658" t="s">
        <v>2408</v>
      </c>
      <c r="X658" t="s">
        <v>967</v>
      </c>
      <c r="Y658" t="s">
        <v>36</v>
      </c>
      <c r="Z658" t="str">
        <f>"85283"</f>
        <v>85283</v>
      </c>
      <c r="AA658" t="str">
        <f>""</f>
        <v/>
      </c>
      <c r="AB658" t="s">
        <v>1466</v>
      </c>
    </row>
    <row r="659" spans="1:28" x14ac:dyDescent="0.25">
      <c r="A659">
        <v>4258</v>
      </c>
      <c r="B659" t="str">
        <f t="shared" si="90"/>
        <v>070403000</v>
      </c>
      <c r="C659" t="s">
        <v>2354</v>
      </c>
      <c r="D659">
        <v>5228</v>
      </c>
      <c r="E659" t="str">
        <f>"070403130"</f>
        <v>070403130</v>
      </c>
      <c r="F659" t="s">
        <v>2409</v>
      </c>
      <c r="G659" t="s">
        <v>42</v>
      </c>
      <c r="H659" t="s">
        <v>1639</v>
      </c>
      <c r="I659" t="s">
        <v>2410</v>
      </c>
      <c r="J659" t="s">
        <v>2361</v>
      </c>
      <c r="K659" t="str">
        <f t="shared" si="91"/>
        <v>4806421541</v>
      </c>
      <c r="L659" t="str">
        <f t="shared" si="92"/>
        <v>7606</v>
      </c>
      <c r="M659" t="str">
        <f t="shared" si="93"/>
        <v>4807841499</v>
      </c>
      <c r="N659" t="str">
        <f>""</f>
        <v/>
      </c>
      <c r="O659" t="s">
        <v>2362</v>
      </c>
      <c r="P659" t="s">
        <v>2358</v>
      </c>
      <c r="Q659" t="s">
        <v>2359</v>
      </c>
      <c r="R659" t="s">
        <v>967</v>
      </c>
      <c r="S659" t="s">
        <v>36</v>
      </c>
      <c r="T659" t="str">
        <f t="shared" si="94"/>
        <v>85281</v>
      </c>
      <c r="U659" t="str">
        <f>""</f>
        <v/>
      </c>
      <c r="V659" t="s">
        <v>2411</v>
      </c>
      <c r="W659" t="s">
        <v>2412</v>
      </c>
      <c r="X659" t="s">
        <v>967</v>
      </c>
      <c r="Y659" t="s">
        <v>36</v>
      </c>
      <c r="Z659" t="str">
        <f>"85283"</f>
        <v>85283</v>
      </c>
      <c r="AA659" t="str">
        <f>""</f>
        <v/>
      </c>
      <c r="AB659" t="s">
        <v>1466</v>
      </c>
    </row>
    <row r="660" spans="1:28" x14ac:dyDescent="0.25">
      <c r="A660">
        <v>4258</v>
      </c>
      <c r="B660" t="str">
        <f t="shared" si="90"/>
        <v>070403000</v>
      </c>
      <c r="C660" t="s">
        <v>2354</v>
      </c>
      <c r="D660">
        <v>5230</v>
      </c>
      <c r="E660" t="str">
        <f>"070403143"</f>
        <v>070403143</v>
      </c>
      <c r="F660" t="s">
        <v>2413</v>
      </c>
      <c r="G660" t="s">
        <v>42</v>
      </c>
      <c r="H660" t="s">
        <v>1639</v>
      </c>
      <c r="I660" t="s">
        <v>2355</v>
      </c>
      <c r="J660" t="s">
        <v>2361</v>
      </c>
      <c r="K660" t="str">
        <f t="shared" si="91"/>
        <v>4806421541</v>
      </c>
      <c r="L660" t="str">
        <f t="shared" si="92"/>
        <v>7606</v>
      </c>
      <c r="M660" t="str">
        <f t="shared" si="93"/>
        <v>4807841499</v>
      </c>
      <c r="N660" t="str">
        <f>""</f>
        <v/>
      </c>
      <c r="O660" t="s">
        <v>2362</v>
      </c>
      <c r="P660" t="s">
        <v>2358</v>
      </c>
      <c r="Q660" t="s">
        <v>2359</v>
      </c>
      <c r="R660" t="s">
        <v>967</v>
      </c>
      <c r="S660" t="s">
        <v>36</v>
      </c>
      <c r="T660" t="str">
        <f t="shared" si="94"/>
        <v>85281</v>
      </c>
      <c r="U660" t="str">
        <f>""</f>
        <v/>
      </c>
      <c r="V660" t="s">
        <v>2413</v>
      </c>
      <c r="W660" t="s">
        <v>2414</v>
      </c>
      <c r="X660" t="s">
        <v>967</v>
      </c>
      <c r="Y660" t="s">
        <v>36</v>
      </c>
      <c r="Z660" t="str">
        <f>"85281"</f>
        <v>85281</v>
      </c>
      <c r="AA660" t="str">
        <f>""</f>
        <v/>
      </c>
      <c r="AB660" t="s">
        <v>1466</v>
      </c>
    </row>
    <row r="661" spans="1:28" x14ac:dyDescent="0.25">
      <c r="A661">
        <v>4258</v>
      </c>
      <c r="B661" t="str">
        <f t="shared" si="90"/>
        <v>070403000</v>
      </c>
      <c r="C661" t="s">
        <v>2354</v>
      </c>
      <c r="D661">
        <v>5231</v>
      </c>
      <c r="E661" t="str">
        <f>"070403144"</f>
        <v>070403144</v>
      </c>
      <c r="F661" t="s">
        <v>2415</v>
      </c>
      <c r="G661" t="s">
        <v>42</v>
      </c>
      <c r="H661" t="s">
        <v>1639</v>
      </c>
      <c r="I661" t="s">
        <v>2355</v>
      </c>
      <c r="J661" t="s">
        <v>2361</v>
      </c>
      <c r="K661" t="str">
        <f t="shared" si="91"/>
        <v>4806421541</v>
      </c>
      <c r="L661" t="str">
        <f t="shared" si="92"/>
        <v>7606</v>
      </c>
      <c r="M661" t="str">
        <f t="shared" si="93"/>
        <v>4807841499</v>
      </c>
      <c r="N661" t="str">
        <f>""</f>
        <v/>
      </c>
      <c r="O661" t="s">
        <v>2362</v>
      </c>
      <c r="P661" t="s">
        <v>2358</v>
      </c>
      <c r="Q661" t="s">
        <v>2376</v>
      </c>
      <c r="R661" t="s">
        <v>967</v>
      </c>
      <c r="S661" t="s">
        <v>36</v>
      </c>
      <c r="T661" t="str">
        <f t="shared" si="94"/>
        <v>85281</v>
      </c>
      <c r="U661" t="str">
        <f>""</f>
        <v/>
      </c>
      <c r="V661" t="s">
        <v>2415</v>
      </c>
      <c r="W661" t="s">
        <v>2416</v>
      </c>
      <c r="X661" t="s">
        <v>967</v>
      </c>
      <c r="Y661" t="s">
        <v>36</v>
      </c>
      <c r="Z661" t="str">
        <f>"85282"</f>
        <v>85282</v>
      </c>
      <c r="AA661" t="str">
        <f>""</f>
        <v/>
      </c>
      <c r="AB661" t="s">
        <v>1466</v>
      </c>
    </row>
    <row r="662" spans="1:28" x14ac:dyDescent="0.25">
      <c r="A662">
        <v>4258</v>
      </c>
      <c r="B662" t="str">
        <f t="shared" si="90"/>
        <v>070403000</v>
      </c>
      <c r="C662" t="s">
        <v>2354</v>
      </c>
      <c r="D662">
        <v>5232</v>
      </c>
      <c r="E662" t="str">
        <f>"070403145"</f>
        <v>070403145</v>
      </c>
      <c r="F662" t="s">
        <v>2417</v>
      </c>
      <c r="G662" t="s">
        <v>42</v>
      </c>
      <c r="H662" t="s">
        <v>1639</v>
      </c>
      <c r="I662" t="s">
        <v>2355</v>
      </c>
      <c r="J662" t="s">
        <v>2361</v>
      </c>
      <c r="K662" t="str">
        <f t="shared" si="91"/>
        <v>4806421541</v>
      </c>
      <c r="L662" t="str">
        <f t="shared" si="92"/>
        <v>7606</v>
      </c>
      <c r="M662" t="str">
        <f t="shared" si="93"/>
        <v>4807841499</v>
      </c>
      <c r="N662" t="str">
        <f>""</f>
        <v/>
      </c>
      <c r="O662" t="s">
        <v>2362</v>
      </c>
      <c r="P662" t="s">
        <v>2358</v>
      </c>
      <c r="Q662" t="s">
        <v>2359</v>
      </c>
      <c r="R662" t="s">
        <v>967</v>
      </c>
      <c r="S662" t="s">
        <v>36</v>
      </c>
      <c r="T662" t="str">
        <f t="shared" si="94"/>
        <v>85281</v>
      </c>
      <c r="U662" t="str">
        <f>""</f>
        <v/>
      </c>
      <c r="V662" t="s">
        <v>2418</v>
      </c>
      <c r="X662" t="s">
        <v>967</v>
      </c>
      <c r="Y662" t="s">
        <v>36</v>
      </c>
      <c r="Z662" t="str">
        <f>"85283"</f>
        <v>85283</v>
      </c>
      <c r="AA662" t="str">
        <f>""</f>
        <v/>
      </c>
      <c r="AB662" t="s">
        <v>1466</v>
      </c>
    </row>
    <row r="663" spans="1:28" x14ac:dyDescent="0.25">
      <c r="A663">
        <v>4258</v>
      </c>
      <c r="B663" t="str">
        <f t="shared" si="90"/>
        <v>070403000</v>
      </c>
      <c r="C663" t="s">
        <v>2354</v>
      </c>
      <c r="D663">
        <v>81057</v>
      </c>
      <c r="E663" t="str">
        <f>"070403161"</f>
        <v>070403161</v>
      </c>
      <c r="F663" t="s">
        <v>2419</v>
      </c>
      <c r="G663" t="s">
        <v>42</v>
      </c>
      <c r="H663" t="s">
        <v>1639</v>
      </c>
      <c r="I663" t="s">
        <v>2355</v>
      </c>
      <c r="J663" t="s">
        <v>2361</v>
      </c>
      <c r="K663" t="str">
        <f t="shared" si="91"/>
        <v>4806421541</v>
      </c>
      <c r="L663" t="str">
        <f t="shared" si="92"/>
        <v>7606</v>
      </c>
      <c r="M663" t="str">
        <f>"4808380832"</f>
        <v>4808380832</v>
      </c>
      <c r="N663" t="str">
        <f>""</f>
        <v/>
      </c>
      <c r="O663" t="s">
        <v>2362</v>
      </c>
      <c r="P663" t="s">
        <v>2358</v>
      </c>
      <c r="Q663" t="s">
        <v>2376</v>
      </c>
      <c r="R663" t="s">
        <v>967</v>
      </c>
      <c r="S663" t="s">
        <v>36</v>
      </c>
      <c r="T663" t="str">
        <f t="shared" si="94"/>
        <v>85281</v>
      </c>
      <c r="U663" t="str">
        <f>""</f>
        <v/>
      </c>
      <c r="V663" t="s">
        <v>2419</v>
      </c>
      <c r="W663" t="s">
        <v>2420</v>
      </c>
      <c r="X663" t="s">
        <v>967</v>
      </c>
      <c r="Y663" t="s">
        <v>36</v>
      </c>
      <c r="Z663" t="str">
        <f>"85282"</f>
        <v>85282</v>
      </c>
      <c r="AA663" t="str">
        <f>""</f>
        <v/>
      </c>
      <c r="AB663" t="s">
        <v>1466</v>
      </c>
    </row>
    <row r="664" spans="1:28" x14ac:dyDescent="0.25">
      <c r="A664">
        <v>4258</v>
      </c>
      <c r="B664" t="str">
        <f t="shared" si="90"/>
        <v>070403000</v>
      </c>
      <c r="C664" t="s">
        <v>2354</v>
      </c>
      <c r="D664">
        <v>91913</v>
      </c>
      <c r="E664" t="str">
        <f>"070403162"</f>
        <v>070403162</v>
      </c>
      <c r="F664" t="s">
        <v>2421</v>
      </c>
      <c r="G664" t="s">
        <v>42</v>
      </c>
      <c r="H664" t="s">
        <v>1639</v>
      </c>
      <c r="I664" t="s">
        <v>2355</v>
      </c>
      <c r="J664" t="s">
        <v>2361</v>
      </c>
      <c r="K664" t="str">
        <f t="shared" si="91"/>
        <v>4806421541</v>
      </c>
      <c r="L664" t="str">
        <f t="shared" si="92"/>
        <v>7606</v>
      </c>
      <c r="M664" t="str">
        <f>"4807841499"</f>
        <v>4807841499</v>
      </c>
      <c r="N664" t="str">
        <f>""</f>
        <v/>
      </c>
      <c r="O664" t="s">
        <v>2362</v>
      </c>
      <c r="P664" t="s">
        <v>2422</v>
      </c>
      <c r="R664" t="s">
        <v>967</v>
      </c>
      <c r="S664" t="s">
        <v>36</v>
      </c>
      <c r="T664" t="str">
        <f t="shared" si="94"/>
        <v>85281</v>
      </c>
      <c r="U664" t="str">
        <f>""</f>
        <v/>
      </c>
      <c r="V664" t="s">
        <v>2423</v>
      </c>
      <c r="X664" t="s">
        <v>967</v>
      </c>
      <c r="Y664" t="s">
        <v>36</v>
      </c>
      <c r="Z664" t="str">
        <f>"85282"</f>
        <v>85282</v>
      </c>
      <c r="AA664" t="str">
        <f>""</f>
        <v/>
      </c>
      <c r="AB664" t="s">
        <v>1466</v>
      </c>
    </row>
    <row r="665" spans="1:28" x14ac:dyDescent="0.25">
      <c r="A665">
        <v>4258</v>
      </c>
      <c r="B665" t="str">
        <f t="shared" si="90"/>
        <v>070403000</v>
      </c>
      <c r="C665" t="s">
        <v>2354</v>
      </c>
      <c r="D665">
        <v>92894</v>
      </c>
      <c r="E665" t="str">
        <f>"072112007"</f>
        <v>072112007</v>
      </c>
      <c r="F665" t="s">
        <v>2424</v>
      </c>
      <c r="G665" t="s">
        <v>42</v>
      </c>
      <c r="H665" t="s">
        <v>1639</v>
      </c>
      <c r="I665" t="s">
        <v>2355</v>
      </c>
      <c r="J665" t="s">
        <v>2425</v>
      </c>
      <c r="K665" t="str">
        <f t="shared" si="91"/>
        <v>4806421541</v>
      </c>
      <c r="L665" t="str">
        <f t="shared" si="92"/>
        <v>7606</v>
      </c>
      <c r="M665" t="str">
        <f>"4807841499"</f>
        <v>4807841499</v>
      </c>
      <c r="N665" t="str">
        <f>""</f>
        <v/>
      </c>
      <c r="O665" t="s">
        <v>2362</v>
      </c>
      <c r="P665" t="s">
        <v>2376</v>
      </c>
      <c r="R665" t="s">
        <v>967</v>
      </c>
      <c r="S665" t="s">
        <v>36</v>
      </c>
      <c r="T665" t="str">
        <f t="shared" si="94"/>
        <v>85281</v>
      </c>
      <c r="U665" t="str">
        <f>""</f>
        <v/>
      </c>
      <c r="V665" t="s">
        <v>2426</v>
      </c>
      <c r="X665" t="s">
        <v>967</v>
      </c>
      <c r="Y665" t="s">
        <v>36</v>
      </c>
      <c r="Z665" t="str">
        <f>"85282"</f>
        <v>85282</v>
      </c>
      <c r="AA665" t="str">
        <f>""</f>
        <v/>
      </c>
      <c r="AB665" t="s">
        <v>1466</v>
      </c>
    </row>
    <row r="666" spans="1:28" x14ac:dyDescent="0.25">
      <c r="A666">
        <v>4259</v>
      </c>
      <c r="B666" t="str">
        <f t="shared" ref="B666:B676" si="95">"070405000"</f>
        <v>070405000</v>
      </c>
      <c r="C666" t="s">
        <v>2427</v>
      </c>
      <c r="D666">
        <v>0</v>
      </c>
      <c r="E666" t="str">
        <f>""</f>
        <v/>
      </c>
      <c r="G666" t="s">
        <v>29</v>
      </c>
      <c r="H666" t="s">
        <v>1271</v>
      </c>
      <c r="I666" t="s">
        <v>2428</v>
      </c>
      <c r="J666" t="s">
        <v>2429</v>
      </c>
      <c r="K666" t="str">
        <f>"6024556746"</f>
        <v>6024556746</v>
      </c>
      <c r="L666" t="str">
        <f>""</f>
        <v/>
      </c>
      <c r="M666" t="str">
        <f>"6024556846"</f>
        <v>6024556846</v>
      </c>
      <c r="N666" t="str">
        <f>""</f>
        <v/>
      </c>
      <c r="O666" t="s">
        <v>2430</v>
      </c>
      <c r="P666" t="s">
        <v>2431</v>
      </c>
      <c r="R666" t="s">
        <v>964</v>
      </c>
      <c r="S666" t="s">
        <v>36</v>
      </c>
      <c r="T666" t="str">
        <f>"85019"</f>
        <v>85019</v>
      </c>
      <c r="U666" t="str">
        <f>""</f>
        <v/>
      </c>
      <c r="V666" t="s">
        <v>2432</v>
      </c>
      <c r="X666" t="s">
        <v>964</v>
      </c>
      <c r="Y666" t="s">
        <v>36</v>
      </c>
      <c r="Z666" t="str">
        <f>"85009"</f>
        <v>85009</v>
      </c>
      <c r="AA666" t="str">
        <f>""</f>
        <v/>
      </c>
      <c r="AB666" t="s">
        <v>56</v>
      </c>
    </row>
    <row r="667" spans="1:28" x14ac:dyDescent="0.25">
      <c r="A667">
        <v>4259</v>
      </c>
      <c r="B667" t="str">
        <f t="shared" si="95"/>
        <v>070405000</v>
      </c>
      <c r="C667" t="s">
        <v>2427</v>
      </c>
      <c r="D667">
        <v>5234</v>
      </c>
      <c r="E667" t="str">
        <f>"070405101"</f>
        <v>070405101</v>
      </c>
      <c r="F667" t="s">
        <v>2433</v>
      </c>
      <c r="G667" t="s">
        <v>42</v>
      </c>
      <c r="H667" t="s">
        <v>2434</v>
      </c>
      <c r="I667" t="s">
        <v>2435</v>
      </c>
      <c r="J667" t="s">
        <v>315</v>
      </c>
      <c r="K667" t="str">
        <f>"6024556800"</f>
        <v>6024556800</v>
      </c>
      <c r="L667" t="str">
        <f>"10108"</f>
        <v>10108</v>
      </c>
      <c r="M667" t="str">
        <f>"6024556868"</f>
        <v>6024556868</v>
      </c>
      <c r="N667" t="str">
        <f>""</f>
        <v/>
      </c>
      <c r="O667" t="s">
        <v>2436</v>
      </c>
      <c r="P667" t="s">
        <v>2437</v>
      </c>
      <c r="R667" t="s">
        <v>964</v>
      </c>
      <c r="S667" t="s">
        <v>36</v>
      </c>
      <c r="T667" t="str">
        <f>"85009"</f>
        <v>85009</v>
      </c>
      <c r="U667" t="str">
        <f>""</f>
        <v/>
      </c>
      <c r="V667" t="s">
        <v>2437</v>
      </c>
      <c r="X667" t="s">
        <v>964</v>
      </c>
      <c r="Y667" t="s">
        <v>36</v>
      </c>
      <c r="Z667" t="str">
        <f>"85009"</f>
        <v>85009</v>
      </c>
      <c r="AA667" t="str">
        <f>""</f>
        <v/>
      </c>
      <c r="AB667" t="s">
        <v>56</v>
      </c>
    </row>
    <row r="668" spans="1:28" x14ac:dyDescent="0.25">
      <c r="A668">
        <v>4259</v>
      </c>
      <c r="B668" t="str">
        <f t="shared" si="95"/>
        <v>070405000</v>
      </c>
      <c r="C668" t="s">
        <v>2427</v>
      </c>
      <c r="D668">
        <v>5235</v>
      </c>
      <c r="E668" t="str">
        <f>"070405102"</f>
        <v>070405102</v>
      </c>
      <c r="F668" t="s">
        <v>2438</v>
      </c>
      <c r="G668" t="s">
        <v>42</v>
      </c>
      <c r="H668" t="s">
        <v>2439</v>
      </c>
      <c r="I668" t="s">
        <v>2440</v>
      </c>
      <c r="J668" t="s">
        <v>315</v>
      </c>
      <c r="K668" t="str">
        <f>"6024423200"</f>
        <v>6024423200</v>
      </c>
      <c r="L668" t="str">
        <f>"10208"</f>
        <v>10208</v>
      </c>
      <c r="M668" t="str">
        <f>"6024423299"</f>
        <v>6024423299</v>
      </c>
      <c r="N668" t="str">
        <f>""</f>
        <v/>
      </c>
      <c r="O668" t="s">
        <v>2441</v>
      </c>
      <c r="P668" t="s">
        <v>2442</v>
      </c>
      <c r="R668" t="s">
        <v>964</v>
      </c>
      <c r="S668" t="s">
        <v>36</v>
      </c>
      <c r="T668" t="str">
        <f>"85009"</f>
        <v>85009</v>
      </c>
      <c r="U668" t="str">
        <f>""</f>
        <v/>
      </c>
      <c r="V668" t="s">
        <v>2442</v>
      </c>
      <c r="X668" t="s">
        <v>964</v>
      </c>
      <c r="Y668" t="s">
        <v>36</v>
      </c>
      <c r="Z668" t="str">
        <f>"85009"</f>
        <v>85009</v>
      </c>
      <c r="AA668" t="str">
        <f>""</f>
        <v/>
      </c>
      <c r="AB668" t="s">
        <v>56</v>
      </c>
    </row>
    <row r="669" spans="1:28" x14ac:dyDescent="0.25">
      <c r="A669">
        <v>4259</v>
      </c>
      <c r="B669" t="str">
        <f t="shared" si="95"/>
        <v>070405000</v>
      </c>
      <c r="C669" t="s">
        <v>2427</v>
      </c>
      <c r="D669">
        <v>5236</v>
      </c>
      <c r="E669" t="str">
        <f>"070405103"</f>
        <v>070405103</v>
      </c>
      <c r="F669" t="s">
        <v>2443</v>
      </c>
      <c r="G669" t="s">
        <v>42</v>
      </c>
      <c r="H669" t="s">
        <v>2444</v>
      </c>
      <c r="I669" t="s">
        <v>2445</v>
      </c>
      <c r="J669" t="s">
        <v>315</v>
      </c>
      <c r="K669" t="str">
        <f>"6024422300"</f>
        <v>6024422300</v>
      </c>
      <c r="L669" t="str">
        <f>"10308"</f>
        <v>10308</v>
      </c>
      <c r="M669" t="str">
        <f>"6024422399"</f>
        <v>6024422399</v>
      </c>
      <c r="N669" t="str">
        <f>""</f>
        <v/>
      </c>
      <c r="O669" t="s">
        <v>2446</v>
      </c>
      <c r="P669" t="s">
        <v>2447</v>
      </c>
      <c r="R669" t="s">
        <v>964</v>
      </c>
      <c r="S669" t="s">
        <v>36</v>
      </c>
      <c r="T669" t="str">
        <f>"85009"</f>
        <v>85009</v>
      </c>
      <c r="U669" t="str">
        <f>""</f>
        <v/>
      </c>
      <c r="V669" t="s">
        <v>2447</v>
      </c>
      <c r="X669" t="s">
        <v>964</v>
      </c>
      <c r="Y669" t="s">
        <v>36</v>
      </c>
      <c r="Z669" t="str">
        <f>"85009"</f>
        <v>85009</v>
      </c>
      <c r="AA669" t="str">
        <f>""</f>
        <v/>
      </c>
      <c r="AB669" t="s">
        <v>56</v>
      </c>
    </row>
    <row r="670" spans="1:28" x14ac:dyDescent="0.25">
      <c r="A670">
        <v>4259</v>
      </c>
      <c r="B670" t="str">
        <f t="shared" si="95"/>
        <v>070405000</v>
      </c>
      <c r="C670" t="s">
        <v>2427</v>
      </c>
      <c r="D670">
        <v>5237</v>
      </c>
      <c r="E670" t="str">
        <f>"070405104"</f>
        <v>070405104</v>
      </c>
      <c r="F670" t="s">
        <v>2448</v>
      </c>
      <c r="G670" t="s">
        <v>42</v>
      </c>
      <c r="H670" t="s">
        <v>1681</v>
      </c>
      <c r="I670" t="s">
        <v>2449</v>
      </c>
      <c r="J670" t="s">
        <v>315</v>
      </c>
      <c r="K670" t="str">
        <f>"6024422400"</f>
        <v>6024422400</v>
      </c>
      <c r="L670" t="str">
        <f>"10408"</f>
        <v>10408</v>
      </c>
      <c r="M670" t="str">
        <f>"6024422499"</f>
        <v>6024422499</v>
      </c>
      <c r="N670" t="str">
        <f>""</f>
        <v/>
      </c>
      <c r="O670" t="s">
        <v>2450</v>
      </c>
      <c r="P670" t="s">
        <v>2451</v>
      </c>
      <c r="R670" t="s">
        <v>964</v>
      </c>
      <c r="S670" t="s">
        <v>36</v>
      </c>
      <c r="T670" t="str">
        <f>"85009"</f>
        <v>85009</v>
      </c>
      <c r="U670" t="str">
        <f>""</f>
        <v/>
      </c>
      <c r="V670" t="s">
        <v>2451</v>
      </c>
      <c r="X670" t="s">
        <v>964</v>
      </c>
      <c r="Y670" t="s">
        <v>36</v>
      </c>
      <c r="Z670" t="str">
        <f>"85009"</f>
        <v>85009</v>
      </c>
      <c r="AA670" t="str">
        <f>""</f>
        <v/>
      </c>
      <c r="AB670" t="s">
        <v>56</v>
      </c>
    </row>
    <row r="671" spans="1:28" x14ac:dyDescent="0.25">
      <c r="A671">
        <v>4259</v>
      </c>
      <c r="B671" t="str">
        <f t="shared" si="95"/>
        <v>070405000</v>
      </c>
      <c r="C671" t="s">
        <v>2427</v>
      </c>
      <c r="D671">
        <v>5238</v>
      </c>
      <c r="E671" t="str">
        <f>"070405105"</f>
        <v>070405105</v>
      </c>
      <c r="F671" t="s">
        <v>2452</v>
      </c>
      <c r="G671" t="s">
        <v>42</v>
      </c>
      <c r="H671" t="s">
        <v>2453</v>
      </c>
      <c r="I671" t="s">
        <v>2454</v>
      </c>
      <c r="J671" t="s">
        <v>315</v>
      </c>
      <c r="K671" t="str">
        <f>"6024422500"</f>
        <v>6024422500</v>
      </c>
      <c r="L671" t="str">
        <f>"10508"</f>
        <v>10508</v>
      </c>
      <c r="M671" t="str">
        <f>"6024422599"</f>
        <v>6024422599</v>
      </c>
      <c r="N671" t="str">
        <f>""</f>
        <v/>
      </c>
      <c r="O671" t="s">
        <v>2455</v>
      </c>
      <c r="P671" t="s">
        <v>2456</v>
      </c>
      <c r="R671" t="s">
        <v>964</v>
      </c>
      <c r="S671" t="s">
        <v>36</v>
      </c>
      <c r="T671" t="str">
        <f>"85035"</f>
        <v>85035</v>
      </c>
      <c r="U671" t="str">
        <f>""</f>
        <v/>
      </c>
      <c r="V671" t="s">
        <v>2456</v>
      </c>
      <c r="X671" t="s">
        <v>964</v>
      </c>
      <c r="Y671" t="s">
        <v>36</v>
      </c>
      <c r="Z671" t="str">
        <f>"85035"</f>
        <v>85035</v>
      </c>
      <c r="AA671" t="str">
        <f>""</f>
        <v/>
      </c>
      <c r="AB671" t="s">
        <v>56</v>
      </c>
    </row>
    <row r="672" spans="1:28" x14ac:dyDescent="0.25">
      <c r="A672">
        <v>4259</v>
      </c>
      <c r="B672" t="str">
        <f t="shared" si="95"/>
        <v>070405000</v>
      </c>
      <c r="C672" t="s">
        <v>2427</v>
      </c>
      <c r="D672">
        <v>5239</v>
      </c>
      <c r="E672" t="str">
        <f>"070405106"</f>
        <v>070405106</v>
      </c>
      <c r="F672" t="s">
        <v>2457</v>
      </c>
      <c r="G672" t="s">
        <v>42</v>
      </c>
      <c r="H672" t="s">
        <v>2458</v>
      </c>
      <c r="I672" t="s">
        <v>2459</v>
      </c>
      <c r="J672" t="s">
        <v>315</v>
      </c>
      <c r="K672" t="str">
        <f>"6024422600"</f>
        <v>6024422600</v>
      </c>
      <c r="L672" t="str">
        <f>"10608"</f>
        <v>10608</v>
      </c>
      <c r="M672" t="str">
        <f>"6024422699"</f>
        <v>6024422699</v>
      </c>
      <c r="N672" t="str">
        <f>""</f>
        <v/>
      </c>
      <c r="O672" t="s">
        <v>2460</v>
      </c>
      <c r="P672" t="s">
        <v>2461</v>
      </c>
      <c r="R672" t="s">
        <v>964</v>
      </c>
      <c r="S672" t="s">
        <v>36</v>
      </c>
      <c r="T672" t="str">
        <f>"85009"</f>
        <v>85009</v>
      </c>
      <c r="U672" t="str">
        <f>""</f>
        <v/>
      </c>
      <c r="V672" t="s">
        <v>2461</v>
      </c>
      <c r="X672" t="s">
        <v>964</v>
      </c>
      <c r="Y672" t="s">
        <v>36</v>
      </c>
      <c r="Z672" t="str">
        <f>"85009"</f>
        <v>85009</v>
      </c>
      <c r="AA672" t="str">
        <f>""</f>
        <v/>
      </c>
      <c r="AB672" t="s">
        <v>56</v>
      </c>
    </row>
    <row r="673" spans="1:28" x14ac:dyDescent="0.25">
      <c r="A673">
        <v>4259</v>
      </c>
      <c r="B673" t="str">
        <f t="shared" si="95"/>
        <v>070405000</v>
      </c>
      <c r="C673" t="s">
        <v>2427</v>
      </c>
      <c r="D673">
        <v>5240</v>
      </c>
      <c r="E673" t="str">
        <f>"070405108"</f>
        <v>070405108</v>
      </c>
      <c r="F673" t="s">
        <v>2051</v>
      </c>
      <c r="G673" t="s">
        <v>42</v>
      </c>
      <c r="H673" t="s">
        <v>2462</v>
      </c>
      <c r="I673" t="s">
        <v>2463</v>
      </c>
      <c r="J673" t="s">
        <v>315</v>
      </c>
      <c r="K673" t="str">
        <f>"6024422800"</f>
        <v>6024422800</v>
      </c>
      <c r="L673" t="str">
        <f>"10808"</f>
        <v>10808</v>
      </c>
      <c r="M673" t="str">
        <f>"6024422899"</f>
        <v>6024422899</v>
      </c>
      <c r="N673" t="str">
        <f>""</f>
        <v/>
      </c>
      <c r="O673" t="s">
        <v>2464</v>
      </c>
      <c r="P673" t="s">
        <v>2465</v>
      </c>
      <c r="R673" t="s">
        <v>964</v>
      </c>
      <c r="S673" t="s">
        <v>36</v>
      </c>
      <c r="T673" t="str">
        <f>"85009"</f>
        <v>85009</v>
      </c>
      <c r="U673" t="str">
        <f>""</f>
        <v/>
      </c>
      <c r="V673" t="s">
        <v>2465</v>
      </c>
      <c r="X673" t="s">
        <v>964</v>
      </c>
      <c r="Y673" t="s">
        <v>36</v>
      </c>
      <c r="Z673" t="str">
        <f>"85009"</f>
        <v>85009</v>
      </c>
      <c r="AA673" t="str">
        <f>""</f>
        <v/>
      </c>
      <c r="AB673" t="s">
        <v>56</v>
      </c>
    </row>
    <row r="674" spans="1:28" x14ac:dyDescent="0.25">
      <c r="A674">
        <v>4259</v>
      </c>
      <c r="B674" t="str">
        <f t="shared" si="95"/>
        <v>070405000</v>
      </c>
      <c r="C674" t="s">
        <v>2427</v>
      </c>
      <c r="D674">
        <v>5243</v>
      </c>
      <c r="E674" t="str">
        <f>"070405111"</f>
        <v>070405111</v>
      </c>
      <c r="F674" t="s">
        <v>2466</v>
      </c>
      <c r="G674" t="s">
        <v>42</v>
      </c>
      <c r="H674" t="s">
        <v>2467</v>
      </c>
      <c r="I674" t="s">
        <v>2468</v>
      </c>
      <c r="J674" t="s">
        <v>315</v>
      </c>
      <c r="K674" t="str">
        <f>"6024556900"</f>
        <v>6024556900</v>
      </c>
      <c r="L674" t="str">
        <f>"11108"</f>
        <v>11108</v>
      </c>
      <c r="M674" t="str">
        <f>"6024844118"</f>
        <v>6024844118</v>
      </c>
      <c r="N674" t="str">
        <f>""</f>
        <v/>
      </c>
      <c r="O674" t="s">
        <v>2469</v>
      </c>
      <c r="P674" t="s">
        <v>2470</v>
      </c>
      <c r="R674" t="s">
        <v>964</v>
      </c>
      <c r="S674" t="s">
        <v>36</v>
      </c>
      <c r="T674" t="str">
        <f>"85019"</f>
        <v>85019</v>
      </c>
      <c r="U674" t="str">
        <f>""</f>
        <v/>
      </c>
      <c r="V674" t="s">
        <v>2470</v>
      </c>
      <c r="X674" t="s">
        <v>964</v>
      </c>
      <c r="Y674" t="s">
        <v>36</v>
      </c>
      <c r="Z674" t="str">
        <f>"85019"</f>
        <v>85019</v>
      </c>
      <c r="AA674" t="str">
        <f>""</f>
        <v/>
      </c>
      <c r="AB674" t="s">
        <v>56</v>
      </c>
    </row>
    <row r="675" spans="1:28" x14ac:dyDescent="0.25">
      <c r="A675">
        <v>4259</v>
      </c>
      <c r="B675" t="str">
        <f t="shared" si="95"/>
        <v>070405000</v>
      </c>
      <c r="C675" t="s">
        <v>2427</v>
      </c>
      <c r="D675">
        <v>78934</v>
      </c>
      <c r="E675" t="str">
        <f>"070405112"</f>
        <v>070405112</v>
      </c>
      <c r="F675" t="s">
        <v>2471</v>
      </c>
      <c r="G675" t="s">
        <v>42</v>
      </c>
      <c r="H675" t="s">
        <v>1305</v>
      </c>
      <c r="I675" t="s">
        <v>2472</v>
      </c>
      <c r="J675" t="s">
        <v>315</v>
      </c>
      <c r="K675" t="str">
        <f>"6024422700"</f>
        <v>6024422700</v>
      </c>
      <c r="L675" t="str">
        <f>"11208"</f>
        <v>11208</v>
      </c>
      <c r="M675" t="str">
        <f>"6024422799"</f>
        <v>6024422799</v>
      </c>
      <c r="N675" t="str">
        <f>""</f>
        <v/>
      </c>
      <c r="O675" t="s">
        <v>2473</v>
      </c>
      <c r="P675" t="s">
        <v>2474</v>
      </c>
      <c r="R675" t="s">
        <v>964</v>
      </c>
      <c r="S675" t="s">
        <v>36</v>
      </c>
      <c r="T675" t="str">
        <f>"85009"</f>
        <v>85009</v>
      </c>
      <c r="U675" t="str">
        <f>""</f>
        <v/>
      </c>
      <c r="V675" t="s">
        <v>2474</v>
      </c>
      <c r="X675" t="s">
        <v>964</v>
      </c>
      <c r="Y675" t="s">
        <v>36</v>
      </c>
      <c r="Z675" t="str">
        <f>"85009"</f>
        <v>85009</v>
      </c>
      <c r="AA675" t="str">
        <f>""</f>
        <v/>
      </c>
      <c r="AB675" t="s">
        <v>56</v>
      </c>
    </row>
    <row r="676" spans="1:28" x14ac:dyDescent="0.25">
      <c r="A676">
        <v>4259</v>
      </c>
      <c r="B676" t="str">
        <f t="shared" si="95"/>
        <v>070405000</v>
      </c>
      <c r="C676" t="s">
        <v>2427</v>
      </c>
      <c r="D676">
        <v>79821</v>
      </c>
      <c r="E676" t="str">
        <f>"070405114"</f>
        <v>070405114</v>
      </c>
      <c r="F676" t="s">
        <v>2475</v>
      </c>
      <c r="G676" t="s">
        <v>42</v>
      </c>
      <c r="H676" t="s">
        <v>2476</v>
      </c>
      <c r="I676" t="s">
        <v>399</v>
      </c>
      <c r="J676" t="s">
        <v>315</v>
      </c>
      <c r="K676" t="str">
        <f>"6024423100"</f>
        <v>6024423100</v>
      </c>
      <c r="L676" t="str">
        <f>"11408"</f>
        <v>11408</v>
      </c>
      <c r="M676" t="str">
        <f>"6024423199"</f>
        <v>6024423199</v>
      </c>
      <c r="N676" t="str">
        <f>""</f>
        <v/>
      </c>
      <c r="O676" t="s">
        <v>2477</v>
      </c>
      <c r="P676" t="s">
        <v>2478</v>
      </c>
      <c r="R676" t="s">
        <v>964</v>
      </c>
      <c r="S676" t="s">
        <v>36</v>
      </c>
      <c r="T676" t="str">
        <f>"85009"</f>
        <v>85009</v>
      </c>
      <c r="U676" t="str">
        <f>""</f>
        <v/>
      </c>
      <c r="V676" t="s">
        <v>2478</v>
      </c>
      <c r="X676" t="s">
        <v>964</v>
      </c>
      <c r="Y676" t="s">
        <v>36</v>
      </c>
      <c r="Z676" t="str">
        <f>"85009"</f>
        <v>85009</v>
      </c>
      <c r="AA676" t="str">
        <f>""</f>
        <v/>
      </c>
      <c r="AB676" t="s">
        <v>56</v>
      </c>
    </row>
    <row r="677" spans="1:28" x14ac:dyDescent="0.25">
      <c r="A677">
        <v>4260</v>
      </c>
      <c r="B677" t="str">
        <f t="shared" ref="B677:B709" si="96">"070406000"</f>
        <v>070406000</v>
      </c>
      <c r="C677" t="s">
        <v>2479</v>
      </c>
      <c r="D677">
        <v>0</v>
      </c>
      <c r="E677" t="str">
        <f>""</f>
        <v/>
      </c>
      <c r="G677" t="s">
        <v>29</v>
      </c>
      <c r="H677" t="s">
        <v>1965</v>
      </c>
      <c r="I677" t="s">
        <v>2480</v>
      </c>
      <c r="J677" t="s">
        <v>2382</v>
      </c>
      <c r="K677" t="str">
        <f t="shared" ref="K677:K709" si="97">"6028965230"</f>
        <v>6028965230</v>
      </c>
      <c r="L677" t="str">
        <f>""</f>
        <v/>
      </c>
      <c r="M677" t="str">
        <f t="shared" ref="M677:M709" si="98">"6028965236"</f>
        <v>6028965236</v>
      </c>
      <c r="N677" t="str">
        <f>""</f>
        <v/>
      </c>
      <c r="O677" t="s">
        <v>2481</v>
      </c>
      <c r="P677" t="s">
        <v>2482</v>
      </c>
      <c r="R677" t="s">
        <v>1173</v>
      </c>
      <c r="S677" t="s">
        <v>36</v>
      </c>
      <c r="T677" t="str">
        <f t="shared" ref="T677:T709" si="99">"85304"</f>
        <v>85304</v>
      </c>
      <c r="U677" t="str">
        <f t="shared" ref="U677:U709" si="100">"1505"</f>
        <v>1505</v>
      </c>
      <c r="V677" t="s">
        <v>2483</v>
      </c>
      <c r="X677" t="s">
        <v>964</v>
      </c>
      <c r="Y677" t="s">
        <v>36</v>
      </c>
      <c r="Z677" t="str">
        <f>"85029"</f>
        <v>85029</v>
      </c>
      <c r="AA677" t="str">
        <f>""</f>
        <v/>
      </c>
      <c r="AB677" t="s">
        <v>124</v>
      </c>
    </row>
    <row r="678" spans="1:28" x14ac:dyDescent="0.25">
      <c r="A678">
        <v>4260</v>
      </c>
      <c r="B678" t="str">
        <f t="shared" si="96"/>
        <v>070406000</v>
      </c>
      <c r="C678" t="s">
        <v>2479</v>
      </c>
      <c r="D678">
        <v>5244</v>
      </c>
      <c r="E678" t="str">
        <f>"070406114"</f>
        <v>070406114</v>
      </c>
      <c r="F678" t="s">
        <v>2484</v>
      </c>
      <c r="G678" t="s">
        <v>42</v>
      </c>
      <c r="H678" t="s">
        <v>1965</v>
      </c>
      <c r="I678" t="s">
        <v>2480</v>
      </c>
      <c r="J678" t="s">
        <v>2382</v>
      </c>
      <c r="K678" t="str">
        <f t="shared" si="97"/>
        <v>6028965230</v>
      </c>
      <c r="L678" t="str">
        <f>""</f>
        <v/>
      </c>
      <c r="M678" t="str">
        <f t="shared" si="98"/>
        <v>6028965236</v>
      </c>
      <c r="N678" t="str">
        <f>""</f>
        <v/>
      </c>
      <c r="O678" t="s">
        <v>2481</v>
      </c>
      <c r="P678" t="s">
        <v>2482</v>
      </c>
      <c r="R678" t="s">
        <v>1173</v>
      </c>
      <c r="S678" t="s">
        <v>36</v>
      </c>
      <c r="T678" t="str">
        <f t="shared" si="99"/>
        <v>85304</v>
      </c>
      <c r="U678" t="str">
        <f t="shared" si="100"/>
        <v>1505</v>
      </c>
      <c r="V678" t="s">
        <v>2485</v>
      </c>
      <c r="X678" t="s">
        <v>964</v>
      </c>
      <c r="Y678" t="s">
        <v>36</v>
      </c>
      <c r="Z678" t="str">
        <f>"85053"</f>
        <v>85053</v>
      </c>
      <c r="AA678" t="str">
        <f>"5799"</f>
        <v>5799</v>
      </c>
      <c r="AB678" t="s">
        <v>124</v>
      </c>
    </row>
    <row r="679" spans="1:28" x14ac:dyDescent="0.25">
      <c r="A679">
        <v>4260</v>
      </c>
      <c r="B679" t="str">
        <f t="shared" si="96"/>
        <v>070406000</v>
      </c>
      <c r="C679" t="s">
        <v>2479</v>
      </c>
      <c r="D679">
        <v>5245</v>
      </c>
      <c r="E679" t="str">
        <f>"070406116"</f>
        <v>070406116</v>
      </c>
      <c r="F679" t="s">
        <v>2486</v>
      </c>
      <c r="G679" t="s">
        <v>42</v>
      </c>
      <c r="H679" t="s">
        <v>1965</v>
      </c>
      <c r="I679" t="s">
        <v>2480</v>
      </c>
      <c r="J679" t="s">
        <v>2382</v>
      </c>
      <c r="K679" t="str">
        <f t="shared" si="97"/>
        <v>6028965230</v>
      </c>
      <c r="L679" t="str">
        <f>""</f>
        <v/>
      </c>
      <c r="M679" t="str">
        <f t="shared" si="98"/>
        <v>6028965236</v>
      </c>
      <c r="N679" t="str">
        <f>""</f>
        <v/>
      </c>
      <c r="O679" t="s">
        <v>2481</v>
      </c>
      <c r="P679" t="s">
        <v>2482</v>
      </c>
      <c r="R679" t="s">
        <v>1173</v>
      </c>
      <c r="S679" t="s">
        <v>36</v>
      </c>
      <c r="T679" t="str">
        <f t="shared" si="99"/>
        <v>85304</v>
      </c>
      <c r="U679" t="str">
        <f t="shared" si="100"/>
        <v>1505</v>
      </c>
      <c r="V679" t="s">
        <v>2487</v>
      </c>
      <c r="X679" t="s">
        <v>964</v>
      </c>
      <c r="Y679" t="s">
        <v>36</v>
      </c>
      <c r="Z679" t="str">
        <f>"85051"</f>
        <v>85051</v>
      </c>
      <c r="AA679" t="str">
        <f>"3998"</f>
        <v>3998</v>
      </c>
      <c r="AB679" t="s">
        <v>124</v>
      </c>
    </row>
    <row r="680" spans="1:28" x14ac:dyDescent="0.25">
      <c r="A680">
        <v>4260</v>
      </c>
      <c r="B680" t="str">
        <f t="shared" si="96"/>
        <v>070406000</v>
      </c>
      <c r="C680" t="s">
        <v>2479</v>
      </c>
      <c r="D680">
        <v>5246</v>
      </c>
      <c r="E680" t="str">
        <f>"070406118"</f>
        <v>070406118</v>
      </c>
      <c r="F680" t="s">
        <v>2488</v>
      </c>
      <c r="G680" t="s">
        <v>42</v>
      </c>
      <c r="H680" t="s">
        <v>1965</v>
      </c>
      <c r="I680" t="s">
        <v>2480</v>
      </c>
      <c r="J680" t="s">
        <v>2382</v>
      </c>
      <c r="K680" t="str">
        <f t="shared" si="97"/>
        <v>6028965230</v>
      </c>
      <c r="L680" t="str">
        <f>""</f>
        <v/>
      </c>
      <c r="M680" t="str">
        <f t="shared" si="98"/>
        <v>6028965236</v>
      </c>
      <c r="N680" t="str">
        <f>""</f>
        <v/>
      </c>
      <c r="O680" t="s">
        <v>2481</v>
      </c>
      <c r="P680" t="s">
        <v>2482</v>
      </c>
      <c r="R680" t="s">
        <v>1173</v>
      </c>
      <c r="S680" t="s">
        <v>36</v>
      </c>
      <c r="T680" t="str">
        <f t="shared" si="99"/>
        <v>85304</v>
      </c>
      <c r="U680" t="str">
        <f t="shared" si="100"/>
        <v>1505</v>
      </c>
      <c r="V680" t="s">
        <v>2489</v>
      </c>
      <c r="X680" t="s">
        <v>1173</v>
      </c>
      <c r="Y680" t="s">
        <v>36</v>
      </c>
      <c r="Z680" t="str">
        <f>"85304"</f>
        <v>85304</v>
      </c>
      <c r="AA680" t="str">
        <f>"3599"</f>
        <v>3599</v>
      </c>
      <c r="AB680" t="s">
        <v>124</v>
      </c>
    </row>
    <row r="681" spans="1:28" x14ac:dyDescent="0.25">
      <c r="A681">
        <v>4260</v>
      </c>
      <c r="B681" t="str">
        <f t="shared" si="96"/>
        <v>070406000</v>
      </c>
      <c r="C681" t="s">
        <v>2479</v>
      </c>
      <c r="D681">
        <v>5247</v>
      </c>
      <c r="E681" t="str">
        <f>"070406120"</f>
        <v>070406120</v>
      </c>
      <c r="F681" t="s">
        <v>2490</v>
      </c>
      <c r="G681" t="s">
        <v>42</v>
      </c>
      <c r="H681" t="s">
        <v>1965</v>
      </c>
      <c r="I681" t="s">
        <v>2480</v>
      </c>
      <c r="J681" t="s">
        <v>2382</v>
      </c>
      <c r="K681" t="str">
        <f t="shared" si="97"/>
        <v>6028965230</v>
      </c>
      <c r="L681" t="str">
        <f>""</f>
        <v/>
      </c>
      <c r="M681" t="str">
        <f t="shared" si="98"/>
        <v>6028965236</v>
      </c>
      <c r="N681" t="str">
        <f>""</f>
        <v/>
      </c>
      <c r="O681" t="s">
        <v>2481</v>
      </c>
      <c r="P681" t="s">
        <v>2482</v>
      </c>
      <c r="R681" t="s">
        <v>1173</v>
      </c>
      <c r="S681" t="s">
        <v>36</v>
      </c>
      <c r="T681" t="str">
        <f t="shared" si="99"/>
        <v>85304</v>
      </c>
      <c r="U681" t="str">
        <f t="shared" si="100"/>
        <v>1505</v>
      </c>
      <c r="V681" t="s">
        <v>2491</v>
      </c>
      <c r="X681" t="s">
        <v>964</v>
      </c>
      <c r="Y681" t="s">
        <v>36</v>
      </c>
      <c r="Z681" t="str">
        <f>"85051"</f>
        <v>85051</v>
      </c>
      <c r="AA681" t="str">
        <f>"3324"</f>
        <v>3324</v>
      </c>
      <c r="AB681" t="s">
        <v>124</v>
      </c>
    </row>
    <row r="682" spans="1:28" x14ac:dyDescent="0.25">
      <c r="A682">
        <v>4260</v>
      </c>
      <c r="B682" t="str">
        <f t="shared" si="96"/>
        <v>070406000</v>
      </c>
      <c r="C682" t="s">
        <v>2479</v>
      </c>
      <c r="D682">
        <v>5248</v>
      </c>
      <c r="E682" t="str">
        <f>"070406122"</f>
        <v>070406122</v>
      </c>
      <c r="F682" t="s">
        <v>2199</v>
      </c>
      <c r="G682" t="s">
        <v>42</v>
      </c>
      <c r="H682" t="s">
        <v>1965</v>
      </c>
      <c r="I682" t="s">
        <v>2480</v>
      </c>
      <c r="J682" t="s">
        <v>2382</v>
      </c>
      <c r="K682" t="str">
        <f t="shared" si="97"/>
        <v>6028965230</v>
      </c>
      <c r="L682" t="str">
        <f>""</f>
        <v/>
      </c>
      <c r="M682" t="str">
        <f t="shared" si="98"/>
        <v>6028965236</v>
      </c>
      <c r="N682" t="str">
        <f>""</f>
        <v/>
      </c>
      <c r="O682" t="s">
        <v>2481</v>
      </c>
      <c r="P682" t="s">
        <v>2482</v>
      </c>
      <c r="R682" t="s">
        <v>1173</v>
      </c>
      <c r="S682" t="s">
        <v>36</v>
      </c>
      <c r="T682" t="str">
        <f t="shared" si="99"/>
        <v>85304</v>
      </c>
      <c r="U682" t="str">
        <f t="shared" si="100"/>
        <v>1505</v>
      </c>
      <c r="V682" t="s">
        <v>2492</v>
      </c>
      <c r="X682" t="s">
        <v>964</v>
      </c>
      <c r="Y682" t="s">
        <v>36</v>
      </c>
      <c r="Z682" t="str">
        <f>"85029"</f>
        <v>85029</v>
      </c>
      <c r="AA682" t="str">
        <f>"1199"</f>
        <v>1199</v>
      </c>
      <c r="AB682" t="s">
        <v>124</v>
      </c>
    </row>
    <row r="683" spans="1:28" x14ac:dyDescent="0.25">
      <c r="A683">
        <v>4260</v>
      </c>
      <c r="B683" t="str">
        <f t="shared" si="96"/>
        <v>070406000</v>
      </c>
      <c r="C683" t="s">
        <v>2479</v>
      </c>
      <c r="D683">
        <v>5249</v>
      </c>
      <c r="E683" t="str">
        <f>"070406124"</f>
        <v>070406124</v>
      </c>
      <c r="F683" t="s">
        <v>2493</v>
      </c>
      <c r="G683" t="s">
        <v>42</v>
      </c>
      <c r="H683" t="s">
        <v>1965</v>
      </c>
      <c r="I683" t="s">
        <v>2480</v>
      </c>
      <c r="J683" t="s">
        <v>2382</v>
      </c>
      <c r="K683" t="str">
        <f t="shared" si="97"/>
        <v>6028965230</v>
      </c>
      <c r="L683" t="str">
        <f>""</f>
        <v/>
      </c>
      <c r="M683" t="str">
        <f t="shared" si="98"/>
        <v>6028965236</v>
      </c>
      <c r="N683" t="str">
        <f>""</f>
        <v/>
      </c>
      <c r="O683" t="s">
        <v>2481</v>
      </c>
      <c r="P683" t="s">
        <v>2482</v>
      </c>
      <c r="R683" t="s">
        <v>1173</v>
      </c>
      <c r="S683" t="s">
        <v>36</v>
      </c>
      <c r="T683" t="str">
        <f t="shared" si="99"/>
        <v>85304</v>
      </c>
      <c r="U683" t="str">
        <f t="shared" si="100"/>
        <v>1505</v>
      </c>
      <c r="V683" t="s">
        <v>2494</v>
      </c>
      <c r="X683" t="s">
        <v>964</v>
      </c>
      <c r="Y683" t="s">
        <v>36</v>
      </c>
      <c r="Z683" t="str">
        <f>"85029"</f>
        <v>85029</v>
      </c>
      <c r="AA683" t="str">
        <f>"4199"</f>
        <v>4199</v>
      </c>
      <c r="AB683" t="s">
        <v>124</v>
      </c>
    </row>
    <row r="684" spans="1:28" x14ac:dyDescent="0.25">
      <c r="A684">
        <v>4260</v>
      </c>
      <c r="B684" t="str">
        <f t="shared" si="96"/>
        <v>070406000</v>
      </c>
      <c r="C684" t="s">
        <v>2479</v>
      </c>
      <c r="D684">
        <v>5250</v>
      </c>
      <c r="E684" t="str">
        <f>"070406126"</f>
        <v>070406126</v>
      </c>
      <c r="F684" t="s">
        <v>2495</v>
      </c>
      <c r="G684" t="s">
        <v>42</v>
      </c>
      <c r="H684" t="s">
        <v>1965</v>
      </c>
      <c r="I684" t="s">
        <v>2480</v>
      </c>
      <c r="J684" t="s">
        <v>2382</v>
      </c>
      <c r="K684" t="str">
        <f t="shared" si="97"/>
        <v>6028965230</v>
      </c>
      <c r="L684" t="str">
        <f>""</f>
        <v/>
      </c>
      <c r="M684" t="str">
        <f t="shared" si="98"/>
        <v>6028965236</v>
      </c>
      <c r="N684" t="str">
        <f>""</f>
        <v/>
      </c>
      <c r="O684" t="s">
        <v>2496</v>
      </c>
      <c r="P684" t="s">
        <v>2497</v>
      </c>
      <c r="R684" t="s">
        <v>1173</v>
      </c>
      <c r="S684" t="s">
        <v>36</v>
      </c>
      <c r="T684" t="str">
        <f t="shared" si="99"/>
        <v>85304</v>
      </c>
      <c r="U684" t="str">
        <f t="shared" si="100"/>
        <v>1505</v>
      </c>
      <c r="V684" t="s">
        <v>2498</v>
      </c>
      <c r="X684" t="s">
        <v>964</v>
      </c>
      <c r="Y684" t="s">
        <v>36</v>
      </c>
      <c r="Z684" t="str">
        <f>"85053"</f>
        <v>85053</v>
      </c>
      <c r="AA684" t="str">
        <f>"4799"</f>
        <v>4799</v>
      </c>
      <c r="AB684" t="s">
        <v>124</v>
      </c>
    </row>
    <row r="685" spans="1:28" x14ac:dyDescent="0.25">
      <c r="A685">
        <v>4260</v>
      </c>
      <c r="B685" t="str">
        <f t="shared" si="96"/>
        <v>070406000</v>
      </c>
      <c r="C685" t="s">
        <v>2479</v>
      </c>
      <c r="D685">
        <v>5251</v>
      </c>
      <c r="E685" t="str">
        <f>"070406128"</f>
        <v>070406128</v>
      </c>
      <c r="F685" t="s">
        <v>2499</v>
      </c>
      <c r="G685" t="s">
        <v>42</v>
      </c>
      <c r="H685" t="s">
        <v>1965</v>
      </c>
      <c r="I685" t="s">
        <v>2480</v>
      </c>
      <c r="J685" t="s">
        <v>2382</v>
      </c>
      <c r="K685" t="str">
        <f t="shared" si="97"/>
        <v>6028965230</v>
      </c>
      <c r="L685" t="str">
        <f>""</f>
        <v/>
      </c>
      <c r="M685" t="str">
        <f t="shared" si="98"/>
        <v>6028965236</v>
      </c>
      <c r="N685" t="str">
        <f>""</f>
        <v/>
      </c>
      <c r="O685" t="s">
        <v>2481</v>
      </c>
      <c r="P685" t="s">
        <v>2482</v>
      </c>
      <c r="R685" t="s">
        <v>1173</v>
      </c>
      <c r="S685" t="s">
        <v>36</v>
      </c>
      <c r="T685" t="str">
        <f t="shared" si="99"/>
        <v>85304</v>
      </c>
      <c r="U685" t="str">
        <f t="shared" si="100"/>
        <v>1505</v>
      </c>
      <c r="V685" t="s">
        <v>2500</v>
      </c>
      <c r="X685" t="s">
        <v>964</v>
      </c>
      <c r="Y685" t="s">
        <v>36</v>
      </c>
      <c r="Z685" t="str">
        <f>"85020"</f>
        <v>85020</v>
      </c>
      <c r="AA685" t="str">
        <f>"3185"</f>
        <v>3185</v>
      </c>
      <c r="AB685" t="s">
        <v>124</v>
      </c>
    </row>
    <row r="686" spans="1:28" x14ac:dyDescent="0.25">
      <c r="A686">
        <v>4260</v>
      </c>
      <c r="B686" t="str">
        <f t="shared" si="96"/>
        <v>070406000</v>
      </c>
      <c r="C686" t="s">
        <v>2479</v>
      </c>
      <c r="D686">
        <v>5252</v>
      </c>
      <c r="E686" t="str">
        <f>"070406130"</f>
        <v>070406130</v>
      </c>
      <c r="F686" t="s">
        <v>2501</v>
      </c>
      <c r="G686" t="s">
        <v>42</v>
      </c>
      <c r="H686" t="s">
        <v>1965</v>
      </c>
      <c r="I686" t="s">
        <v>2480</v>
      </c>
      <c r="J686" t="s">
        <v>2382</v>
      </c>
      <c r="K686" t="str">
        <f t="shared" si="97"/>
        <v>6028965230</v>
      </c>
      <c r="L686" t="str">
        <f>""</f>
        <v/>
      </c>
      <c r="M686" t="str">
        <f t="shared" si="98"/>
        <v>6028965236</v>
      </c>
      <c r="N686" t="str">
        <f>""</f>
        <v/>
      </c>
      <c r="O686" t="s">
        <v>2481</v>
      </c>
      <c r="P686" t="s">
        <v>2482</v>
      </c>
      <c r="R686" t="s">
        <v>1173</v>
      </c>
      <c r="S686" t="s">
        <v>36</v>
      </c>
      <c r="T686" t="str">
        <f t="shared" si="99"/>
        <v>85304</v>
      </c>
      <c r="U686" t="str">
        <f t="shared" si="100"/>
        <v>1505</v>
      </c>
      <c r="V686" t="s">
        <v>2502</v>
      </c>
      <c r="X686" t="s">
        <v>964</v>
      </c>
      <c r="Y686" t="s">
        <v>36</v>
      </c>
      <c r="Z686" t="str">
        <f>"85053"</f>
        <v>85053</v>
      </c>
      <c r="AA686" t="str">
        <f>"4599"</f>
        <v>4599</v>
      </c>
      <c r="AB686" t="s">
        <v>124</v>
      </c>
    </row>
    <row r="687" spans="1:28" x14ac:dyDescent="0.25">
      <c r="A687">
        <v>4260</v>
      </c>
      <c r="B687" t="str">
        <f t="shared" si="96"/>
        <v>070406000</v>
      </c>
      <c r="C687" t="s">
        <v>2479</v>
      </c>
      <c r="D687">
        <v>5253</v>
      </c>
      <c r="E687" t="str">
        <f>"070406131"</f>
        <v>070406131</v>
      </c>
      <c r="F687" t="s">
        <v>2503</v>
      </c>
      <c r="G687" t="s">
        <v>42</v>
      </c>
      <c r="H687" t="s">
        <v>1965</v>
      </c>
      <c r="I687" t="s">
        <v>2480</v>
      </c>
      <c r="J687" t="s">
        <v>2382</v>
      </c>
      <c r="K687" t="str">
        <f t="shared" si="97"/>
        <v>6028965230</v>
      </c>
      <c r="L687" t="str">
        <f>""</f>
        <v/>
      </c>
      <c r="M687" t="str">
        <f t="shared" si="98"/>
        <v>6028965236</v>
      </c>
      <c r="N687" t="str">
        <f>""</f>
        <v/>
      </c>
      <c r="O687" t="s">
        <v>2481</v>
      </c>
      <c r="P687" t="s">
        <v>2482</v>
      </c>
      <c r="R687" t="s">
        <v>1173</v>
      </c>
      <c r="S687" t="s">
        <v>36</v>
      </c>
      <c r="T687" t="str">
        <f t="shared" si="99"/>
        <v>85304</v>
      </c>
      <c r="U687" t="str">
        <f t="shared" si="100"/>
        <v>1505</v>
      </c>
      <c r="V687" t="s">
        <v>2504</v>
      </c>
      <c r="X687" t="s">
        <v>964</v>
      </c>
      <c r="Y687" t="s">
        <v>36</v>
      </c>
      <c r="Z687" t="str">
        <f>"85023"</f>
        <v>85023</v>
      </c>
      <c r="AA687" t="str">
        <f>"6099"</f>
        <v>6099</v>
      </c>
      <c r="AB687" t="s">
        <v>124</v>
      </c>
    </row>
    <row r="688" spans="1:28" x14ac:dyDescent="0.25">
      <c r="A688">
        <v>4260</v>
      </c>
      <c r="B688" t="str">
        <f t="shared" si="96"/>
        <v>070406000</v>
      </c>
      <c r="C688" t="s">
        <v>2479</v>
      </c>
      <c r="D688">
        <v>5254</v>
      </c>
      <c r="E688" t="str">
        <f>"070406132"</f>
        <v>070406132</v>
      </c>
      <c r="F688" t="s">
        <v>2505</v>
      </c>
      <c r="G688" t="s">
        <v>42</v>
      </c>
      <c r="H688" t="s">
        <v>1965</v>
      </c>
      <c r="I688" t="s">
        <v>2480</v>
      </c>
      <c r="J688" t="s">
        <v>2382</v>
      </c>
      <c r="K688" t="str">
        <f t="shared" si="97"/>
        <v>6028965230</v>
      </c>
      <c r="L688" t="str">
        <f>""</f>
        <v/>
      </c>
      <c r="M688" t="str">
        <f t="shared" si="98"/>
        <v>6028965236</v>
      </c>
      <c r="N688" t="str">
        <f>""</f>
        <v/>
      </c>
      <c r="O688" t="s">
        <v>2481</v>
      </c>
      <c r="P688" t="s">
        <v>2482</v>
      </c>
      <c r="R688" t="s">
        <v>1173</v>
      </c>
      <c r="S688" t="s">
        <v>36</v>
      </c>
      <c r="T688" t="str">
        <f t="shared" si="99"/>
        <v>85304</v>
      </c>
      <c r="U688" t="str">
        <f t="shared" si="100"/>
        <v>1505</v>
      </c>
      <c r="V688" t="s">
        <v>2506</v>
      </c>
      <c r="X688" t="s">
        <v>964</v>
      </c>
      <c r="Y688" t="s">
        <v>36</v>
      </c>
      <c r="Z688" t="str">
        <f>"85029"</f>
        <v>85029</v>
      </c>
      <c r="AA688" t="str">
        <f>"4197"</f>
        <v>4197</v>
      </c>
      <c r="AB688" t="s">
        <v>124</v>
      </c>
    </row>
    <row r="689" spans="1:28" x14ac:dyDescent="0.25">
      <c r="A689">
        <v>4260</v>
      </c>
      <c r="B689" t="str">
        <f t="shared" si="96"/>
        <v>070406000</v>
      </c>
      <c r="C689" t="s">
        <v>2479</v>
      </c>
      <c r="D689">
        <v>5255</v>
      </c>
      <c r="E689" t="str">
        <f>"070406134"</f>
        <v>070406134</v>
      </c>
      <c r="F689" t="s">
        <v>2507</v>
      </c>
      <c r="G689" t="s">
        <v>42</v>
      </c>
      <c r="H689" t="s">
        <v>1965</v>
      </c>
      <c r="I689" t="s">
        <v>2480</v>
      </c>
      <c r="J689" t="s">
        <v>2382</v>
      </c>
      <c r="K689" t="str">
        <f t="shared" si="97"/>
        <v>6028965230</v>
      </c>
      <c r="L689" t="str">
        <f>""</f>
        <v/>
      </c>
      <c r="M689" t="str">
        <f t="shared" si="98"/>
        <v>6028965236</v>
      </c>
      <c r="N689" t="str">
        <f>""</f>
        <v/>
      </c>
      <c r="O689" t="s">
        <v>2481</v>
      </c>
      <c r="P689" t="s">
        <v>2482</v>
      </c>
      <c r="R689" t="s">
        <v>1173</v>
      </c>
      <c r="S689" t="s">
        <v>36</v>
      </c>
      <c r="T689" t="str">
        <f t="shared" si="99"/>
        <v>85304</v>
      </c>
      <c r="U689" t="str">
        <f t="shared" si="100"/>
        <v>1505</v>
      </c>
      <c r="V689" t="s">
        <v>2508</v>
      </c>
      <c r="X689" t="s">
        <v>964</v>
      </c>
      <c r="Y689" t="s">
        <v>36</v>
      </c>
      <c r="Z689" t="str">
        <f>"85023"</f>
        <v>85023</v>
      </c>
      <c r="AA689" t="str">
        <f>"3697"</f>
        <v>3697</v>
      </c>
      <c r="AB689" t="s">
        <v>124</v>
      </c>
    </row>
    <row r="690" spans="1:28" x14ac:dyDescent="0.25">
      <c r="A690">
        <v>4260</v>
      </c>
      <c r="B690" t="str">
        <f t="shared" si="96"/>
        <v>070406000</v>
      </c>
      <c r="C690" t="s">
        <v>2479</v>
      </c>
      <c r="D690">
        <v>5256</v>
      </c>
      <c r="E690" t="str">
        <f>"070406136"</f>
        <v>070406136</v>
      </c>
      <c r="F690" t="s">
        <v>2509</v>
      </c>
      <c r="G690" t="s">
        <v>42</v>
      </c>
      <c r="H690" t="s">
        <v>1965</v>
      </c>
      <c r="I690" t="s">
        <v>2480</v>
      </c>
      <c r="J690" t="s">
        <v>2382</v>
      </c>
      <c r="K690" t="str">
        <f t="shared" si="97"/>
        <v>6028965230</v>
      </c>
      <c r="L690" t="str">
        <f>""</f>
        <v/>
      </c>
      <c r="M690" t="str">
        <f t="shared" si="98"/>
        <v>6028965236</v>
      </c>
      <c r="N690" t="str">
        <f>""</f>
        <v/>
      </c>
      <c r="O690" t="s">
        <v>2481</v>
      </c>
      <c r="P690" t="s">
        <v>2482</v>
      </c>
      <c r="R690" t="s">
        <v>1173</v>
      </c>
      <c r="S690" t="s">
        <v>36</v>
      </c>
      <c r="T690" t="str">
        <f t="shared" si="99"/>
        <v>85304</v>
      </c>
      <c r="U690" t="str">
        <f t="shared" si="100"/>
        <v>1505</v>
      </c>
      <c r="V690" t="s">
        <v>2510</v>
      </c>
      <c r="X690" t="s">
        <v>964</v>
      </c>
      <c r="Y690" t="s">
        <v>36</v>
      </c>
      <c r="Z690" t="str">
        <f>"85051"</f>
        <v>85051</v>
      </c>
      <c r="AA690" t="str">
        <f>"4799"</f>
        <v>4799</v>
      </c>
      <c r="AB690" t="s">
        <v>124</v>
      </c>
    </row>
    <row r="691" spans="1:28" x14ac:dyDescent="0.25">
      <c r="A691">
        <v>4260</v>
      </c>
      <c r="B691" t="str">
        <f t="shared" si="96"/>
        <v>070406000</v>
      </c>
      <c r="C691" t="s">
        <v>2479</v>
      </c>
      <c r="D691">
        <v>5257</v>
      </c>
      <c r="E691" t="str">
        <f>"070406138"</f>
        <v>070406138</v>
      </c>
      <c r="F691" t="s">
        <v>2511</v>
      </c>
      <c r="G691" t="s">
        <v>42</v>
      </c>
      <c r="H691" t="s">
        <v>1965</v>
      </c>
      <c r="I691" t="s">
        <v>2480</v>
      </c>
      <c r="J691" t="s">
        <v>2382</v>
      </c>
      <c r="K691" t="str">
        <f t="shared" si="97"/>
        <v>6028965230</v>
      </c>
      <c r="L691" t="str">
        <f>""</f>
        <v/>
      </c>
      <c r="M691" t="str">
        <f t="shared" si="98"/>
        <v>6028965236</v>
      </c>
      <c r="N691" t="str">
        <f>""</f>
        <v/>
      </c>
      <c r="O691" t="s">
        <v>2481</v>
      </c>
      <c r="P691" t="s">
        <v>2482</v>
      </c>
      <c r="R691" t="s">
        <v>1173</v>
      </c>
      <c r="S691" t="s">
        <v>36</v>
      </c>
      <c r="T691" t="str">
        <f t="shared" si="99"/>
        <v>85304</v>
      </c>
      <c r="U691" t="str">
        <f t="shared" si="100"/>
        <v>1505</v>
      </c>
      <c r="V691" t="s">
        <v>2512</v>
      </c>
      <c r="X691" t="s">
        <v>964</v>
      </c>
      <c r="Y691" t="s">
        <v>36</v>
      </c>
      <c r="Z691" t="str">
        <f>"85015"</f>
        <v>85015</v>
      </c>
      <c r="AA691" t="str">
        <f>"1555"</f>
        <v>1555</v>
      </c>
      <c r="AB691" t="s">
        <v>124</v>
      </c>
    </row>
    <row r="692" spans="1:28" x14ac:dyDescent="0.25">
      <c r="A692">
        <v>4260</v>
      </c>
      <c r="B692" t="str">
        <f t="shared" si="96"/>
        <v>070406000</v>
      </c>
      <c r="C692" t="s">
        <v>2479</v>
      </c>
      <c r="D692">
        <v>5258</v>
      </c>
      <c r="E692" t="str">
        <f>"070406140"</f>
        <v>070406140</v>
      </c>
      <c r="F692" t="s">
        <v>2513</v>
      </c>
      <c r="G692" t="s">
        <v>42</v>
      </c>
      <c r="H692" t="s">
        <v>1965</v>
      </c>
      <c r="I692" t="s">
        <v>2480</v>
      </c>
      <c r="J692" t="s">
        <v>2382</v>
      </c>
      <c r="K692" t="str">
        <f t="shared" si="97"/>
        <v>6028965230</v>
      </c>
      <c r="L692" t="str">
        <f>""</f>
        <v/>
      </c>
      <c r="M692" t="str">
        <f t="shared" si="98"/>
        <v>6028965236</v>
      </c>
      <c r="N692" t="str">
        <f>""</f>
        <v/>
      </c>
      <c r="O692" t="s">
        <v>2481</v>
      </c>
      <c r="P692" t="s">
        <v>2482</v>
      </c>
      <c r="R692" t="s">
        <v>1173</v>
      </c>
      <c r="S692" t="s">
        <v>36</v>
      </c>
      <c r="T692" t="str">
        <f t="shared" si="99"/>
        <v>85304</v>
      </c>
      <c r="U692" t="str">
        <f t="shared" si="100"/>
        <v>1505</v>
      </c>
      <c r="V692" t="s">
        <v>2514</v>
      </c>
      <c r="X692" t="s">
        <v>964</v>
      </c>
      <c r="Y692" t="s">
        <v>36</v>
      </c>
      <c r="Z692" t="str">
        <f>"85029"</f>
        <v>85029</v>
      </c>
      <c r="AA692" t="str">
        <f>"1698"</f>
        <v>1698</v>
      </c>
      <c r="AB692" t="s">
        <v>124</v>
      </c>
    </row>
    <row r="693" spans="1:28" x14ac:dyDescent="0.25">
      <c r="A693">
        <v>4260</v>
      </c>
      <c r="B693" t="str">
        <f t="shared" si="96"/>
        <v>070406000</v>
      </c>
      <c r="C693" t="s">
        <v>2479</v>
      </c>
      <c r="D693">
        <v>5259</v>
      </c>
      <c r="E693" t="str">
        <f>"070406141"</f>
        <v>070406141</v>
      </c>
      <c r="F693" t="s">
        <v>2515</v>
      </c>
      <c r="G693" t="s">
        <v>42</v>
      </c>
      <c r="H693" t="s">
        <v>1965</v>
      </c>
      <c r="I693" t="s">
        <v>2480</v>
      </c>
      <c r="J693" t="s">
        <v>2382</v>
      </c>
      <c r="K693" t="str">
        <f t="shared" si="97"/>
        <v>6028965230</v>
      </c>
      <c r="L693" t="str">
        <f>""</f>
        <v/>
      </c>
      <c r="M693" t="str">
        <f t="shared" si="98"/>
        <v>6028965236</v>
      </c>
      <c r="N693" t="str">
        <f>""</f>
        <v/>
      </c>
      <c r="O693" t="s">
        <v>2481</v>
      </c>
      <c r="P693" t="s">
        <v>2482</v>
      </c>
      <c r="R693" t="s">
        <v>1173</v>
      </c>
      <c r="S693" t="s">
        <v>36</v>
      </c>
      <c r="T693" t="str">
        <f t="shared" si="99"/>
        <v>85304</v>
      </c>
      <c r="U693" t="str">
        <f t="shared" si="100"/>
        <v>1505</v>
      </c>
      <c r="V693" t="s">
        <v>2516</v>
      </c>
      <c r="X693" t="s">
        <v>964</v>
      </c>
      <c r="Y693" t="s">
        <v>36</v>
      </c>
      <c r="Z693" t="str">
        <f>"85023"</f>
        <v>85023</v>
      </c>
      <c r="AA693" t="str">
        <f>"3577"</f>
        <v>3577</v>
      </c>
      <c r="AB693" t="s">
        <v>124</v>
      </c>
    </row>
    <row r="694" spans="1:28" x14ac:dyDescent="0.25">
      <c r="A694">
        <v>4260</v>
      </c>
      <c r="B694" t="str">
        <f t="shared" si="96"/>
        <v>070406000</v>
      </c>
      <c r="C694" t="s">
        <v>2479</v>
      </c>
      <c r="D694">
        <v>5260</v>
      </c>
      <c r="E694" t="str">
        <f>"070406142"</f>
        <v>070406142</v>
      </c>
      <c r="F694" t="s">
        <v>2517</v>
      </c>
      <c r="G694" t="s">
        <v>42</v>
      </c>
      <c r="H694" t="s">
        <v>1965</v>
      </c>
      <c r="I694" t="s">
        <v>2480</v>
      </c>
      <c r="J694" t="s">
        <v>2382</v>
      </c>
      <c r="K694" t="str">
        <f t="shared" si="97"/>
        <v>6028965230</v>
      </c>
      <c r="L694" t="str">
        <f>""</f>
        <v/>
      </c>
      <c r="M694" t="str">
        <f t="shared" si="98"/>
        <v>6028965236</v>
      </c>
      <c r="N694" t="str">
        <f>""</f>
        <v/>
      </c>
      <c r="O694" t="s">
        <v>2481</v>
      </c>
      <c r="P694" t="s">
        <v>2482</v>
      </c>
      <c r="R694" t="s">
        <v>1173</v>
      </c>
      <c r="S694" t="s">
        <v>36</v>
      </c>
      <c r="T694" t="str">
        <f t="shared" si="99"/>
        <v>85304</v>
      </c>
      <c r="U694" t="str">
        <f t="shared" si="100"/>
        <v>1505</v>
      </c>
      <c r="V694" t="s">
        <v>2518</v>
      </c>
      <c r="X694" t="s">
        <v>964</v>
      </c>
      <c r="Y694" t="s">
        <v>36</v>
      </c>
      <c r="Z694" t="str">
        <f>"85029"</f>
        <v>85029</v>
      </c>
      <c r="AA694" t="str">
        <f>""</f>
        <v/>
      </c>
      <c r="AB694" t="s">
        <v>124</v>
      </c>
    </row>
    <row r="695" spans="1:28" x14ac:dyDescent="0.25">
      <c r="A695">
        <v>4260</v>
      </c>
      <c r="B695" t="str">
        <f t="shared" si="96"/>
        <v>070406000</v>
      </c>
      <c r="C695" t="s">
        <v>2479</v>
      </c>
      <c r="D695">
        <v>5261</v>
      </c>
      <c r="E695" t="str">
        <f>"070406144"</f>
        <v>070406144</v>
      </c>
      <c r="F695" t="s">
        <v>2519</v>
      </c>
      <c r="G695" t="s">
        <v>42</v>
      </c>
      <c r="H695" t="s">
        <v>1965</v>
      </c>
      <c r="I695" t="s">
        <v>2480</v>
      </c>
      <c r="J695" t="s">
        <v>2382</v>
      </c>
      <c r="K695" t="str">
        <f t="shared" si="97"/>
        <v>6028965230</v>
      </c>
      <c r="L695" t="str">
        <f>""</f>
        <v/>
      </c>
      <c r="M695" t="str">
        <f t="shared" si="98"/>
        <v>6028965236</v>
      </c>
      <c r="N695" t="str">
        <f>""</f>
        <v/>
      </c>
      <c r="O695" t="s">
        <v>2481</v>
      </c>
      <c r="P695" t="s">
        <v>2482</v>
      </c>
      <c r="R695" t="s">
        <v>1173</v>
      </c>
      <c r="S695" t="s">
        <v>36</v>
      </c>
      <c r="T695" t="str">
        <f t="shared" si="99"/>
        <v>85304</v>
      </c>
      <c r="U695" t="str">
        <f t="shared" si="100"/>
        <v>1505</v>
      </c>
      <c r="V695" t="s">
        <v>2520</v>
      </c>
      <c r="X695" t="s">
        <v>964</v>
      </c>
      <c r="Y695" t="s">
        <v>36</v>
      </c>
      <c r="Z695" t="str">
        <f>"85017"</f>
        <v>85017</v>
      </c>
      <c r="AA695" t="str">
        <f>"1055"</f>
        <v>1055</v>
      </c>
      <c r="AB695" t="s">
        <v>124</v>
      </c>
    </row>
    <row r="696" spans="1:28" x14ac:dyDescent="0.25">
      <c r="A696">
        <v>4260</v>
      </c>
      <c r="B696" t="str">
        <f t="shared" si="96"/>
        <v>070406000</v>
      </c>
      <c r="C696" t="s">
        <v>2479</v>
      </c>
      <c r="D696">
        <v>5262</v>
      </c>
      <c r="E696" t="str">
        <f>"070406146"</f>
        <v>070406146</v>
      </c>
      <c r="F696" t="s">
        <v>2521</v>
      </c>
      <c r="G696" t="s">
        <v>42</v>
      </c>
      <c r="H696" t="s">
        <v>1965</v>
      </c>
      <c r="I696" t="s">
        <v>2480</v>
      </c>
      <c r="J696" t="s">
        <v>2382</v>
      </c>
      <c r="K696" t="str">
        <f t="shared" si="97"/>
        <v>6028965230</v>
      </c>
      <c r="L696" t="str">
        <f>""</f>
        <v/>
      </c>
      <c r="M696" t="str">
        <f t="shared" si="98"/>
        <v>6028965236</v>
      </c>
      <c r="N696" t="str">
        <f>""</f>
        <v/>
      </c>
      <c r="O696" t="s">
        <v>2481</v>
      </c>
      <c r="P696" t="s">
        <v>2482</v>
      </c>
      <c r="R696" t="s">
        <v>1173</v>
      </c>
      <c r="S696" t="s">
        <v>36</v>
      </c>
      <c r="T696" t="str">
        <f t="shared" si="99"/>
        <v>85304</v>
      </c>
      <c r="U696" t="str">
        <f t="shared" si="100"/>
        <v>1505</v>
      </c>
      <c r="V696" t="s">
        <v>2522</v>
      </c>
      <c r="X696" t="s">
        <v>964</v>
      </c>
      <c r="Y696" t="s">
        <v>36</v>
      </c>
      <c r="Z696" t="str">
        <f>"85021"</f>
        <v>85021</v>
      </c>
      <c r="AA696" t="str">
        <f>"7998"</f>
        <v>7998</v>
      </c>
      <c r="AB696" t="s">
        <v>124</v>
      </c>
    </row>
    <row r="697" spans="1:28" x14ac:dyDescent="0.25">
      <c r="A697">
        <v>4260</v>
      </c>
      <c r="B697" t="str">
        <f t="shared" si="96"/>
        <v>070406000</v>
      </c>
      <c r="C697" t="s">
        <v>2479</v>
      </c>
      <c r="D697">
        <v>5263</v>
      </c>
      <c r="E697" t="str">
        <f>"070406148"</f>
        <v>070406148</v>
      </c>
      <c r="F697" t="s">
        <v>2523</v>
      </c>
      <c r="G697" t="s">
        <v>42</v>
      </c>
      <c r="H697" t="s">
        <v>1965</v>
      </c>
      <c r="I697" t="s">
        <v>2480</v>
      </c>
      <c r="J697" t="s">
        <v>2382</v>
      </c>
      <c r="K697" t="str">
        <f t="shared" si="97"/>
        <v>6028965230</v>
      </c>
      <c r="L697" t="str">
        <f>""</f>
        <v/>
      </c>
      <c r="M697" t="str">
        <f t="shared" si="98"/>
        <v>6028965236</v>
      </c>
      <c r="N697" t="str">
        <f>""</f>
        <v/>
      </c>
      <c r="O697" t="s">
        <v>2481</v>
      </c>
      <c r="P697" t="s">
        <v>2482</v>
      </c>
      <c r="R697" t="s">
        <v>1173</v>
      </c>
      <c r="S697" t="s">
        <v>36</v>
      </c>
      <c r="T697" t="str">
        <f t="shared" si="99"/>
        <v>85304</v>
      </c>
      <c r="U697" t="str">
        <f t="shared" si="100"/>
        <v>1505</v>
      </c>
      <c r="V697" t="s">
        <v>2524</v>
      </c>
      <c r="X697" t="s">
        <v>964</v>
      </c>
      <c r="Y697" t="s">
        <v>36</v>
      </c>
      <c r="Z697" t="str">
        <f>"85051"</f>
        <v>85051</v>
      </c>
      <c r="AA697" t="str">
        <f>"6497"</f>
        <v>6497</v>
      </c>
      <c r="AB697" t="s">
        <v>124</v>
      </c>
    </row>
    <row r="698" spans="1:28" x14ac:dyDescent="0.25">
      <c r="A698">
        <v>4260</v>
      </c>
      <c r="B698" t="str">
        <f t="shared" si="96"/>
        <v>070406000</v>
      </c>
      <c r="C698" t="s">
        <v>2479</v>
      </c>
      <c r="D698">
        <v>5264</v>
      </c>
      <c r="E698" t="str">
        <f>"070406150"</f>
        <v>070406150</v>
      </c>
      <c r="F698" t="s">
        <v>2525</v>
      </c>
      <c r="G698" t="s">
        <v>42</v>
      </c>
      <c r="H698" t="s">
        <v>1965</v>
      </c>
      <c r="I698" t="s">
        <v>2480</v>
      </c>
      <c r="J698" t="s">
        <v>2382</v>
      </c>
      <c r="K698" t="str">
        <f t="shared" si="97"/>
        <v>6028965230</v>
      </c>
      <c r="L698" t="str">
        <f>""</f>
        <v/>
      </c>
      <c r="M698" t="str">
        <f t="shared" si="98"/>
        <v>6028965236</v>
      </c>
      <c r="N698" t="str">
        <f>""</f>
        <v/>
      </c>
      <c r="O698" t="s">
        <v>2481</v>
      </c>
      <c r="P698" t="s">
        <v>2482</v>
      </c>
      <c r="R698" t="s">
        <v>1173</v>
      </c>
      <c r="S698" t="s">
        <v>36</v>
      </c>
      <c r="T698" t="str">
        <f t="shared" si="99"/>
        <v>85304</v>
      </c>
      <c r="U698" t="str">
        <f t="shared" si="100"/>
        <v>1505</v>
      </c>
      <c r="V698" t="s">
        <v>2526</v>
      </c>
      <c r="X698" t="s">
        <v>964</v>
      </c>
      <c r="Y698" t="s">
        <v>36</v>
      </c>
      <c r="Z698" t="str">
        <f>"85021"</f>
        <v>85021</v>
      </c>
      <c r="AA698" t="str">
        <f>"4299"</f>
        <v>4299</v>
      </c>
      <c r="AB698" t="s">
        <v>124</v>
      </c>
    </row>
    <row r="699" spans="1:28" x14ac:dyDescent="0.25">
      <c r="A699">
        <v>4260</v>
      </c>
      <c r="B699" t="str">
        <f t="shared" si="96"/>
        <v>070406000</v>
      </c>
      <c r="C699" t="s">
        <v>2479</v>
      </c>
      <c r="D699">
        <v>5265</v>
      </c>
      <c r="E699" t="str">
        <f>"070406152"</f>
        <v>070406152</v>
      </c>
      <c r="F699" t="s">
        <v>2527</v>
      </c>
      <c r="G699" t="s">
        <v>42</v>
      </c>
      <c r="H699" t="s">
        <v>1965</v>
      </c>
      <c r="I699" t="s">
        <v>2480</v>
      </c>
      <c r="J699" t="s">
        <v>2382</v>
      </c>
      <c r="K699" t="str">
        <f t="shared" si="97"/>
        <v>6028965230</v>
      </c>
      <c r="L699" t="str">
        <f>""</f>
        <v/>
      </c>
      <c r="M699" t="str">
        <f t="shared" si="98"/>
        <v>6028965236</v>
      </c>
      <c r="N699" t="str">
        <f>""</f>
        <v/>
      </c>
      <c r="O699" t="s">
        <v>2481</v>
      </c>
      <c r="P699" t="s">
        <v>2482</v>
      </c>
      <c r="R699" t="s">
        <v>1173</v>
      </c>
      <c r="S699" t="s">
        <v>36</v>
      </c>
      <c r="T699" t="str">
        <f t="shared" si="99"/>
        <v>85304</v>
      </c>
      <c r="U699" t="str">
        <f t="shared" si="100"/>
        <v>1505</v>
      </c>
      <c r="V699" t="s">
        <v>2528</v>
      </c>
      <c r="X699" t="s">
        <v>964</v>
      </c>
      <c r="Y699" t="s">
        <v>36</v>
      </c>
      <c r="Z699" t="str">
        <f>"85051"</f>
        <v>85051</v>
      </c>
      <c r="AA699" t="str">
        <f>"6499"</f>
        <v>6499</v>
      </c>
      <c r="AB699" t="s">
        <v>124</v>
      </c>
    </row>
    <row r="700" spans="1:28" x14ac:dyDescent="0.25">
      <c r="A700">
        <v>4260</v>
      </c>
      <c r="B700" t="str">
        <f t="shared" si="96"/>
        <v>070406000</v>
      </c>
      <c r="C700" t="s">
        <v>2479</v>
      </c>
      <c r="D700">
        <v>5266</v>
      </c>
      <c r="E700" t="str">
        <f>"070406154"</f>
        <v>070406154</v>
      </c>
      <c r="F700" t="s">
        <v>2529</v>
      </c>
      <c r="G700" t="s">
        <v>42</v>
      </c>
      <c r="H700" t="s">
        <v>1965</v>
      </c>
      <c r="I700" t="s">
        <v>2480</v>
      </c>
      <c r="J700" t="s">
        <v>2382</v>
      </c>
      <c r="K700" t="str">
        <f t="shared" si="97"/>
        <v>6028965230</v>
      </c>
      <c r="L700" t="str">
        <f>""</f>
        <v/>
      </c>
      <c r="M700" t="str">
        <f t="shared" si="98"/>
        <v>6028965236</v>
      </c>
      <c r="N700" t="str">
        <f>""</f>
        <v/>
      </c>
      <c r="O700" t="s">
        <v>2481</v>
      </c>
      <c r="P700" t="s">
        <v>2482</v>
      </c>
      <c r="R700" t="s">
        <v>1173</v>
      </c>
      <c r="S700" t="s">
        <v>36</v>
      </c>
      <c r="T700" t="str">
        <f t="shared" si="99"/>
        <v>85304</v>
      </c>
      <c r="U700" t="str">
        <f t="shared" si="100"/>
        <v>1505</v>
      </c>
      <c r="V700" t="s">
        <v>2530</v>
      </c>
      <c r="X700" t="s">
        <v>964</v>
      </c>
      <c r="Y700" t="s">
        <v>36</v>
      </c>
      <c r="Z700" t="str">
        <f>"85021"</f>
        <v>85021</v>
      </c>
      <c r="AA700" t="str">
        <f>"4293"</f>
        <v>4293</v>
      </c>
      <c r="AB700" t="s">
        <v>124</v>
      </c>
    </row>
    <row r="701" spans="1:28" x14ac:dyDescent="0.25">
      <c r="A701">
        <v>4260</v>
      </c>
      <c r="B701" t="str">
        <f t="shared" si="96"/>
        <v>070406000</v>
      </c>
      <c r="C701" t="s">
        <v>2479</v>
      </c>
      <c r="D701">
        <v>5267</v>
      </c>
      <c r="E701" t="str">
        <f>"070406156"</f>
        <v>070406156</v>
      </c>
      <c r="F701" t="s">
        <v>2531</v>
      </c>
      <c r="G701" t="s">
        <v>42</v>
      </c>
      <c r="H701" t="s">
        <v>1965</v>
      </c>
      <c r="I701" t="s">
        <v>2480</v>
      </c>
      <c r="J701" t="s">
        <v>2382</v>
      </c>
      <c r="K701" t="str">
        <f t="shared" si="97"/>
        <v>6028965230</v>
      </c>
      <c r="L701" t="str">
        <f>""</f>
        <v/>
      </c>
      <c r="M701" t="str">
        <f t="shared" si="98"/>
        <v>6028965236</v>
      </c>
      <c r="N701" t="str">
        <f>""</f>
        <v/>
      </c>
      <c r="O701" t="s">
        <v>2481</v>
      </c>
      <c r="P701" t="s">
        <v>2482</v>
      </c>
      <c r="R701" t="s">
        <v>1173</v>
      </c>
      <c r="S701" t="s">
        <v>36</v>
      </c>
      <c r="T701" t="str">
        <f t="shared" si="99"/>
        <v>85304</v>
      </c>
      <c r="U701" t="str">
        <f t="shared" si="100"/>
        <v>1505</v>
      </c>
      <c r="V701" t="s">
        <v>2532</v>
      </c>
      <c r="X701" t="s">
        <v>964</v>
      </c>
      <c r="Y701" t="s">
        <v>36</v>
      </c>
      <c r="Z701" t="str">
        <f>"85029"</f>
        <v>85029</v>
      </c>
      <c r="AA701" t="str">
        <f>"2209"</f>
        <v>2209</v>
      </c>
      <c r="AB701" t="s">
        <v>124</v>
      </c>
    </row>
    <row r="702" spans="1:28" x14ac:dyDescent="0.25">
      <c r="A702">
        <v>4260</v>
      </c>
      <c r="B702" t="str">
        <f t="shared" si="96"/>
        <v>070406000</v>
      </c>
      <c r="C702" t="s">
        <v>2479</v>
      </c>
      <c r="D702">
        <v>5268</v>
      </c>
      <c r="E702" t="str">
        <f>"070406160"</f>
        <v>070406160</v>
      </c>
      <c r="F702" t="s">
        <v>2533</v>
      </c>
      <c r="G702" t="s">
        <v>42</v>
      </c>
      <c r="H702" t="s">
        <v>1965</v>
      </c>
      <c r="I702" t="s">
        <v>2480</v>
      </c>
      <c r="J702" t="s">
        <v>2382</v>
      </c>
      <c r="K702" t="str">
        <f t="shared" si="97"/>
        <v>6028965230</v>
      </c>
      <c r="L702" t="str">
        <f>""</f>
        <v/>
      </c>
      <c r="M702" t="str">
        <f t="shared" si="98"/>
        <v>6028965236</v>
      </c>
      <c r="N702" t="str">
        <f>""</f>
        <v/>
      </c>
      <c r="O702" t="s">
        <v>2481</v>
      </c>
      <c r="P702" t="s">
        <v>2482</v>
      </c>
      <c r="R702" t="s">
        <v>1173</v>
      </c>
      <c r="S702" t="s">
        <v>36</v>
      </c>
      <c r="T702" t="str">
        <f t="shared" si="99"/>
        <v>85304</v>
      </c>
      <c r="U702" t="str">
        <f t="shared" si="100"/>
        <v>1505</v>
      </c>
      <c r="V702" t="s">
        <v>2534</v>
      </c>
      <c r="X702" t="s">
        <v>964</v>
      </c>
      <c r="Y702" t="s">
        <v>36</v>
      </c>
      <c r="Z702" t="str">
        <f>"85029"</f>
        <v>85029</v>
      </c>
      <c r="AA702" t="str">
        <f>"5599"</f>
        <v>5599</v>
      </c>
      <c r="AB702" t="s">
        <v>124</v>
      </c>
    </row>
    <row r="703" spans="1:28" x14ac:dyDescent="0.25">
      <c r="A703">
        <v>4260</v>
      </c>
      <c r="B703" t="str">
        <f t="shared" si="96"/>
        <v>070406000</v>
      </c>
      <c r="C703" t="s">
        <v>2479</v>
      </c>
      <c r="D703">
        <v>5269</v>
      </c>
      <c r="E703" t="str">
        <f>"070406162"</f>
        <v>070406162</v>
      </c>
      <c r="F703" t="s">
        <v>2535</v>
      </c>
      <c r="G703" t="s">
        <v>42</v>
      </c>
      <c r="H703" t="s">
        <v>1965</v>
      </c>
      <c r="I703" t="s">
        <v>2480</v>
      </c>
      <c r="J703" t="s">
        <v>2382</v>
      </c>
      <c r="K703" t="str">
        <f t="shared" si="97"/>
        <v>6028965230</v>
      </c>
      <c r="L703" t="str">
        <f>""</f>
        <v/>
      </c>
      <c r="M703" t="str">
        <f t="shared" si="98"/>
        <v>6028965236</v>
      </c>
      <c r="N703" t="str">
        <f>""</f>
        <v/>
      </c>
      <c r="O703" t="s">
        <v>2481</v>
      </c>
      <c r="P703" t="s">
        <v>2482</v>
      </c>
      <c r="R703" t="s">
        <v>1173</v>
      </c>
      <c r="S703" t="s">
        <v>36</v>
      </c>
      <c r="T703" t="str">
        <f t="shared" si="99"/>
        <v>85304</v>
      </c>
      <c r="U703" t="str">
        <f t="shared" si="100"/>
        <v>1505</v>
      </c>
      <c r="V703" t="s">
        <v>2536</v>
      </c>
      <c r="X703" t="s">
        <v>1173</v>
      </c>
      <c r="Y703" t="s">
        <v>36</v>
      </c>
      <c r="Z703" t="str">
        <f>"85306"</f>
        <v>85306</v>
      </c>
      <c r="AA703" t="str">
        <f>"4499"</f>
        <v>4499</v>
      </c>
      <c r="AB703" t="s">
        <v>124</v>
      </c>
    </row>
    <row r="704" spans="1:28" x14ac:dyDescent="0.25">
      <c r="A704">
        <v>4260</v>
      </c>
      <c r="B704" t="str">
        <f t="shared" si="96"/>
        <v>070406000</v>
      </c>
      <c r="C704" t="s">
        <v>2479</v>
      </c>
      <c r="D704">
        <v>5270</v>
      </c>
      <c r="E704" t="str">
        <f>"070406163"</f>
        <v>070406163</v>
      </c>
      <c r="F704" t="s">
        <v>2537</v>
      </c>
      <c r="G704" t="s">
        <v>42</v>
      </c>
      <c r="H704" t="s">
        <v>1965</v>
      </c>
      <c r="I704" t="s">
        <v>2480</v>
      </c>
      <c r="J704" t="s">
        <v>2382</v>
      </c>
      <c r="K704" t="str">
        <f t="shared" si="97"/>
        <v>6028965230</v>
      </c>
      <c r="L704" t="str">
        <f>""</f>
        <v/>
      </c>
      <c r="M704" t="str">
        <f t="shared" si="98"/>
        <v>6028965236</v>
      </c>
      <c r="N704" t="str">
        <f>""</f>
        <v/>
      </c>
      <c r="O704" t="s">
        <v>2481</v>
      </c>
      <c r="P704" t="s">
        <v>2482</v>
      </c>
      <c r="R704" t="s">
        <v>1173</v>
      </c>
      <c r="S704" t="s">
        <v>36</v>
      </c>
      <c r="T704" t="str">
        <f t="shared" si="99"/>
        <v>85304</v>
      </c>
      <c r="U704" t="str">
        <f t="shared" si="100"/>
        <v>1505</v>
      </c>
      <c r="V704" t="s">
        <v>2538</v>
      </c>
      <c r="X704" t="s">
        <v>1173</v>
      </c>
      <c r="Y704" t="s">
        <v>36</v>
      </c>
      <c r="Z704" t="str">
        <f>"85304"</f>
        <v>85304</v>
      </c>
      <c r="AA704" t="str">
        <f>"1505"</f>
        <v>1505</v>
      </c>
      <c r="AB704" t="s">
        <v>124</v>
      </c>
    </row>
    <row r="705" spans="1:28" x14ac:dyDescent="0.25">
      <c r="A705">
        <v>4260</v>
      </c>
      <c r="B705" t="str">
        <f t="shared" si="96"/>
        <v>070406000</v>
      </c>
      <c r="C705" t="s">
        <v>2479</v>
      </c>
      <c r="D705">
        <v>5271</v>
      </c>
      <c r="E705" t="str">
        <f>"070406164"</f>
        <v>070406164</v>
      </c>
      <c r="F705" t="s">
        <v>2539</v>
      </c>
      <c r="G705" t="s">
        <v>42</v>
      </c>
      <c r="H705" t="s">
        <v>1965</v>
      </c>
      <c r="I705" t="s">
        <v>2480</v>
      </c>
      <c r="J705" t="s">
        <v>2382</v>
      </c>
      <c r="K705" t="str">
        <f t="shared" si="97"/>
        <v>6028965230</v>
      </c>
      <c r="L705" t="str">
        <f>""</f>
        <v/>
      </c>
      <c r="M705" t="str">
        <f t="shared" si="98"/>
        <v>6028965236</v>
      </c>
      <c r="N705" t="str">
        <f>""</f>
        <v/>
      </c>
      <c r="O705" t="s">
        <v>2481</v>
      </c>
      <c r="P705" t="s">
        <v>2482</v>
      </c>
      <c r="R705" t="s">
        <v>1173</v>
      </c>
      <c r="S705" t="s">
        <v>36</v>
      </c>
      <c r="T705" t="str">
        <f t="shared" si="99"/>
        <v>85304</v>
      </c>
      <c r="U705" t="str">
        <f t="shared" si="100"/>
        <v>1505</v>
      </c>
      <c r="V705" t="s">
        <v>2540</v>
      </c>
      <c r="X705" t="s">
        <v>964</v>
      </c>
      <c r="Y705" t="s">
        <v>36</v>
      </c>
      <c r="Z705" t="str">
        <f>"85020"</f>
        <v>85020</v>
      </c>
      <c r="AA705" t="str">
        <f>""</f>
        <v/>
      </c>
      <c r="AB705" t="s">
        <v>124</v>
      </c>
    </row>
    <row r="706" spans="1:28" x14ac:dyDescent="0.25">
      <c r="A706">
        <v>4260</v>
      </c>
      <c r="B706" t="str">
        <f t="shared" si="96"/>
        <v>070406000</v>
      </c>
      <c r="C706" t="s">
        <v>2479</v>
      </c>
      <c r="D706">
        <v>5272</v>
      </c>
      <c r="E706" t="str">
        <f>"070406165"</f>
        <v>070406165</v>
      </c>
      <c r="F706" t="s">
        <v>2541</v>
      </c>
      <c r="G706" t="s">
        <v>42</v>
      </c>
      <c r="H706" t="s">
        <v>1965</v>
      </c>
      <c r="I706" t="s">
        <v>2480</v>
      </c>
      <c r="J706" t="s">
        <v>2382</v>
      </c>
      <c r="K706" t="str">
        <f t="shared" si="97"/>
        <v>6028965230</v>
      </c>
      <c r="L706" t="str">
        <f>""</f>
        <v/>
      </c>
      <c r="M706" t="str">
        <f t="shared" si="98"/>
        <v>6028965236</v>
      </c>
      <c r="N706" t="str">
        <f>""</f>
        <v/>
      </c>
      <c r="O706" t="s">
        <v>2481</v>
      </c>
      <c r="P706" t="s">
        <v>2482</v>
      </c>
      <c r="R706" t="s">
        <v>1173</v>
      </c>
      <c r="S706" t="s">
        <v>36</v>
      </c>
      <c r="T706" t="str">
        <f t="shared" si="99"/>
        <v>85304</v>
      </c>
      <c r="U706" t="str">
        <f t="shared" si="100"/>
        <v>1505</v>
      </c>
      <c r="V706" t="s">
        <v>2542</v>
      </c>
      <c r="X706" t="s">
        <v>1173</v>
      </c>
      <c r="Y706" t="s">
        <v>36</v>
      </c>
      <c r="Z706" t="str">
        <f>"85302"</f>
        <v>85302</v>
      </c>
      <c r="AA706" t="str">
        <f>"2609"</f>
        <v>2609</v>
      </c>
      <c r="AB706" t="s">
        <v>124</v>
      </c>
    </row>
    <row r="707" spans="1:28" x14ac:dyDescent="0.25">
      <c r="A707">
        <v>4260</v>
      </c>
      <c r="B707" t="str">
        <f t="shared" si="96"/>
        <v>070406000</v>
      </c>
      <c r="C707" t="s">
        <v>2479</v>
      </c>
      <c r="D707">
        <v>5273</v>
      </c>
      <c r="E707" t="str">
        <f>"070406166"</f>
        <v>070406166</v>
      </c>
      <c r="F707" t="s">
        <v>2543</v>
      </c>
      <c r="G707" t="s">
        <v>42</v>
      </c>
      <c r="H707" t="s">
        <v>1965</v>
      </c>
      <c r="I707" t="s">
        <v>2480</v>
      </c>
      <c r="J707" t="s">
        <v>2382</v>
      </c>
      <c r="K707" t="str">
        <f t="shared" si="97"/>
        <v>6028965230</v>
      </c>
      <c r="L707" t="str">
        <f>""</f>
        <v/>
      </c>
      <c r="M707" t="str">
        <f t="shared" si="98"/>
        <v>6028965236</v>
      </c>
      <c r="N707" t="str">
        <f>""</f>
        <v/>
      </c>
      <c r="O707" t="s">
        <v>2481</v>
      </c>
      <c r="P707" t="s">
        <v>2482</v>
      </c>
      <c r="R707" t="s">
        <v>1173</v>
      </c>
      <c r="S707" t="s">
        <v>36</v>
      </c>
      <c r="T707" t="str">
        <f t="shared" si="99"/>
        <v>85304</v>
      </c>
      <c r="U707" t="str">
        <f t="shared" si="100"/>
        <v>1505</v>
      </c>
      <c r="V707" t="s">
        <v>2544</v>
      </c>
      <c r="X707" t="s">
        <v>964</v>
      </c>
      <c r="Y707" t="s">
        <v>36</v>
      </c>
      <c r="Z707" t="str">
        <f>"85029"</f>
        <v>85029</v>
      </c>
      <c r="AA707" t="str">
        <f>"3099"</f>
        <v>3099</v>
      </c>
      <c r="AB707" t="s">
        <v>124</v>
      </c>
    </row>
    <row r="708" spans="1:28" x14ac:dyDescent="0.25">
      <c r="A708">
        <v>4260</v>
      </c>
      <c r="B708" t="str">
        <f t="shared" si="96"/>
        <v>070406000</v>
      </c>
      <c r="C708" t="s">
        <v>2479</v>
      </c>
      <c r="D708">
        <v>5274</v>
      </c>
      <c r="E708" t="str">
        <f>"070406167"</f>
        <v>070406167</v>
      </c>
      <c r="F708" t="s">
        <v>2545</v>
      </c>
      <c r="G708" t="s">
        <v>42</v>
      </c>
      <c r="H708" t="s">
        <v>1965</v>
      </c>
      <c r="I708" t="s">
        <v>2480</v>
      </c>
      <c r="J708" t="s">
        <v>2382</v>
      </c>
      <c r="K708" t="str">
        <f t="shared" si="97"/>
        <v>6028965230</v>
      </c>
      <c r="L708" t="str">
        <f>""</f>
        <v/>
      </c>
      <c r="M708" t="str">
        <f t="shared" si="98"/>
        <v>6028965236</v>
      </c>
      <c r="N708" t="str">
        <f>""</f>
        <v/>
      </c>
      <c r="O708" t="s">
        <v>2481</v>
      </c>
      <c r="P708" t="s">
        <v>2482</v>
      </c>
      <c r="R708" t="s">
        <v>1173</v>
      </c>
      <c r="S708" t="s">
        <v>36</v>
      </c>
      <c r="T708" t="str">
        <f t="shared" si="99"/>
        <v>85304</v>
      </c>
      <c r="U708" t="str">
        <f t="shared" si="100"/>
        <v>1505</v>
      </c>
      <c r="V708" t="s">
        <v>2546</v>
      </c>
      <c r="X708" t="s">
        <v>964</v>
      </c>
      <c r="Y708" t="s">
        <v>36</v>
      </c>
      <c r="Z708" t="str">
        <f>"85051"</f>
        <v>85051</v>
      </c>
      <c r="AA708" t="str">
        <f>"1179"</f>
        <v>1179</v>
      </c>
      <c r="AB708" t="s">
        <v>124</v>
      </c>
    </row>
    <row r="709" spans="1:28" x14ac:dyDescent="0.25">
      <c r="A709">
        <v>4260</v>
      </c>
      <c r="B709" t="str">
        <f t="shared" si="96"/>
        <v>070406000</v>
      </c>
      <c r="C709" t="s">
        <v>2479</v>
      </c>
      <c r="D709">
        <v>5275</v>
      </c>
      <c r="E709" t="str">
        <f>"070406168"</f>
        <v>070406168</v>
      </c>
      <c r="F709" t="s">
        <v>1032</v>
      </c>
      <c r="G709" t="s">
        <v>42</v>
      </c>
      <c r="H709" t="s">
        <v>1965</v>
      </c>
      <c r="I709" t="s">
        <v>2480</v>
      </c>
      <c r="J709" t="s">
        <v>2382</v>
      </c>
      <c r="K709" t="str">
        <f t="shared" si="97"/>
        <v>6028965230</v>
      </c>
      <c r="L709" t="str">
        <f>""</f>
        <v/>
      </c>
      <c r="M709" t="str">
        <f t="shared" si="98"/>
        <v>6028965236</v>
      </c>
      <c r="N709" t="str">
        <f>""</f>
        <v/>
      </c>
      <c r="O709" t="s">
        <v>2481</v>
      </c>
      <c r="P709" t="s">
        <v>2482</v>
      </c>
      <c r="R709" t="s">
        <v>1173</v>
      </c>
      <c r="S709" t="s">
        <v>36</v>
      </c>
      <c r="T709" t="str">
        <f t="shared" si="99"/>
        <v>85304</v>
      </c>
      <c r="U709" t="str">
        <f t="shared" si="100"/>
        <v>1505</v>
      </c>
      <c r="V709" t="s">
        <v>2547</v>
      </c>
      <c r="X709" t="s">
        <v>964</v>
      </c>
      <c r="Y709" t="s">
        <v>36</v>
      </c>
      <c r="Z709" t="str">
        <f>"85051"</f>
        <v>85051</v>
      </c>
      <c r="AA709" t="str">
        <f>"6399"</f>
        <v>6399</v>
      </c>
      <c r="AB709" t="s">
        <v>124</v>
      </c>
    </row>
    <row r="710" spans="1:28" x14ac:dyDescent="0.25">
      <c r="A710">
        <v>4261</v>
      </c>
      <c r="B710" t="str">
        <f>"070407000"</f>
        <v>070407000</v>
      </c>
      <c r="C710" t="s">
        <v>2548</v>
      </c>
      <c r="D710">
        <v>0</v>
      </c>
      <c r="E710" t="str">
        <f>""</f>
        <v/>
      </c>
      <c r="G710" t="s">
        <v>29</v>
      </c>
      <c r="H710" t="s">
        <v>1874</v>
      </c>
      <c r="I710" t="s">
        <v>2549</v>
      </c>
      <c r="J710" t="s">
        <v>134</v>
      </c>
      <c r="K710" t="str">
        <f>"6026812200"</f>
        <v>6026812200</v>
      </c>
      <c r="L710" t="str">
        <f>"2005"</f>
        <v>2005</v>
      </c>
      <c r="M710" t="str">
        <f>""</f>
        <v/>
      </c>
      <c r="N710" t="str">
        <f>""</f>
        <v/>
      </c>
      <c r="O710" t="s">
        <v>2550</v>
      </c>
      <c r="P710" t="s">
        <v>2551</v>
      </c>
      <c r="R710" t="s">
        <v>964</v>
      </c>
      <c r="S710" t="s">
        <v>36</v>
      </c>
      <c r="T710" t="str">
        <f>"85008"</f>
        <v>85008</v>
      </c>
      <c r="U710" t="str">
        <f>""</f>
        <v/>
      </c>
      <c r="V710" t="s">
        <v>2551</v>
      </c>
      <c r="X710" t="s">
        <v>964</v>
      </c>
      <c r="Y710" t="s">
        <v>36</v>
      </c>
      <c r="Z710" t="str">
        <f>"85008"</f>
        <v>85008</v>
      </c>
      <c r="AA710" t="str">
        <f>""</f>
        <v/>
      </c>
      <c r="AB710" t="s">
        <v>124</v>
      </c>
    </row>
    <row r="711" spans="1:28" x14ac:dyDescent="0.25">
      <c r="A711">
        <v>4261</v>
      </c>
      <c r="B711" t="str">
        <f>"070407000"</f>
        <v>070407000</v>
      </c>
      <c r="C711" t="s">
        <v>2548</v>
      </c>
      <c r="D711">
        <v>5276</v>
      </c>
      <c r="E711" t="str">
        <f>"070407101"</f>
        <v>070407101</v>
      </c>
      <c r="F711" t="s">
        <v>1111</v>
      </c>
      <c r="G711" t="s">
        <v>42</v>
      </c>
      <c r="H711" t="s">
        <v>2552</v>
      </c>
      <c r="I711" t="s">
        <v>2553</v>
      </c>
      <c r="J711" t="s">
        <v>32</v>
      </c>
      <c r="K711" t="str">
        <f>"6026832411"</f>
        <v>6026832411</v>
      </c>
      <c r="L711" t="str">
        <f>""</f>
        <v/>
      </c>
      <c r="M711" t="str">
        <f>"6026832412"</f>
        <v>6026832412</v>
      </c>
      <c r="N711" t="str">
        <f>""</f>
        <v/>
      </c>
      <c r="O711" t="s">
        <v>2554</v>
      </c>
      <c r="P711" t="s">
        <v>2551</v>
      </c>
      <c r="R711" t="s">
        <v>964</v>
      </c>
      <c r="S711" t="s">
        <v>36</v>
      </c>
      <c r="T711" t="str">
        <f>"85008"</f>
        <v>85008</v>
      </c>
      <c r="U711" t="str">
        <f>""</f>
        <v/>
      </c>
      <c r="V711" t="s">
        <v>2551</v>
      </c>
      <c r="X711" t="s">
        <v>964</v>
      </c>
      <c r="Y711" t="s">
        <v>36</v>
      </c>
      <c r="Z711" t="str">
        <f>"85008"</f>
        <v>85008</v>
      </c>
      <c r="AA711" t="str">
        <f>""</f>
        <v/>
      </c>
      <c r="AB711" t="s">
        <v>124</v>
      </c>
    </row>
    <row r="712" spans="1:28" x14ac:dyDescent="0.25">
      <c r="A712">
        <v>4261</v>
      </c>
      <c r="B712" t="str">
        <f>"070407000"</f>
        <v>070407000</v>
      </c>
      <c r="C712" t="s">
        <v>2548</v>
      </c>
      <c r="D712">
        <v>5277</v>
      </c>
      <c r="E712" t="str">
        <f>"070407102"</f>
        <v>070407102</v>
      </c>
      <c r="F712" t="s">
        <v>2555</v>
      </c>
      <c r="G712" t="s">
        <v>42</v>
      </c>
      <c r="H712" t="s">
        <v>2552</v>
      </c>
      <c r="I712" t="s">
        <v>2553</v>
      </c>
      <c r="J712" t="s">
        <v>32</v>
      </c>
      <c r="K712" t="str">
        <f>"6026832411"</f>
        <v>6026832411</v>
      </c>
      <c r="L712" t="str">
        <f>""</f>
        <v/>
      </c>
      <c r="M712" t="str">
        <f>"6026832412"</f>
        <v>6026832412</v>
      </c>
      <c r="N712" t="str">
        <f>""</f>
        <v/>
      </c>
      <c r="O712" t="s">
        <v>2554</v>
      </c>
      <c r="P712" t="s">
        <v>2551</v>
      </c>
      <c r="R712" t="s">
        <v>964</v>
      </c>
      <c r="S712" t="s">
        <v>36</v>
      </c>
      <c r="T712" t="str">
        <f>"85008"</f>
        <v>85008</v>
      </c>
      <c r="U712" t="str">
        <f>""</f>
        <v/>
      </c>
      <c r="V712" t="s">
        <v>2556</v>
      </c>
      <c r="X712" t="s">
        <v>964</v>
      </c>
      <c r="Y712" t="s">
        <v>36</v>
      </c>
      <c r="Z712" t="str">
        <f>"85008"</f>
        <v>85008</v>
      </c>
      <c r="AA712" t="str">
        <f>""</f>
        <v/>
      </c>
      <c r="AB712" t="s">
        <v>124</v>
      </c>
    </row>
    <row r="713" spans="1:28" x14ac:dyDescent="0.25">
      <c r="A713">
        <v>4262</v>
      </c>
      <c r="B713" t="str">
        <f t="shared" ref="B713:B719" si="101">"070408000"</f>
        <v>070408000</v>
      </c>
      <c r="C713" t="s">
        <v>2557</v>
      </c>
      <c r="D713">
        <v>0</v>
      </c>
      <c r="E713" t="str">
        <f>""</f>
        <v/>
      </c>
      <c r="G713" t="s">
        <v>29</v>
      </c>
      <c r="H713" t="s">
        <v>2558</v>
      </c>
      <c r="I713" t="s">
        <v>2559</v>
      </c>
      <c r="J713" t="s">
        <v>1935</v>
      </c>
      <c r="K713" t="str">
        <f>"6027072020"</f>
        <v>6027072020</v>
      </c>
      <c r="L713" t="str">
        <f>""</f>
        <v/>
      </c>
      <c r="M713" t="str">
        <f>"6027072040"</f>
        <v>6027072040</v>
      </c>
      <c r="N713" t="str">
        <f>""</f>
        <v/>
      </c>
      <c r="O713" t="s">
        <v>2560</v>
      </c>
      <c r="P713" t="s">
        <v>2561</v>
      </c>
      <c r="R713" t="s">
        <v>964</v>
      </c>
      <c r="S713" t="s">
        <v>36</v>
      </c>
      <c r="T713" t="str">
        <f>"85013"</f>
        <v>85013</v>
      </c>
      <c r="U713" t="str">
        <f>""</f>
        <v/>
      </c>
      <c r="V713" t="s">
        <v>2561</v>
      </c>
      <c r="X713" t="s">
        <v>964</v>
      </c>
      <c r="Y713" t="s">
        <v>36</v>
      </c>
      <c r="Z713" t="str">
        <f>"85013"</f>
        <v>85013</v>
      </c>
      <c r="AA713" t="str">
        <f>""</f>
        <v/>
      </c>
      <c r="AB713" t="s">
        <v>2345</v>
      </c>
    </row>
    <row r="714" spans="1:28" x14ac:dyDescent="0.25">
      <c r="A714">
        <v>4262</v>
      </c>
      <c r="B714" t="str">
        <f t="shared" si="101"/>
        <v>070408000</v>
      </c>
      <c r="C714" t="s">
        <v>2557</v>
      </c>
      <c r="D714">
        <v>5278</v>
      </c>
      <c r="E714" t="str">
        <f>"070408102"</f>
        <v>070408102</v>
      </c>
      <c r="F714" t="s">
        <v>2562</v>
      </c>
      <c r="G714" t="s">
        <v>42</v>
      </c>
      <c r="H714" t="s">
        <v>2563</v>
      </c>
      <c r="I714" t="s">
        <v>2564</v>
      </c>
      <c r="J714" t="s">
        <v>926</v>
      </c>
      <c r="K714" t="str">
        <f>"6027072030"</f>
        <v>6027072030</v>
      </c>
      <c r="L714" t="str">
        <f>""</f>
        <v/>
      </c>
      <c r="M714" t="str">
        <f>"6027072040"</f>
        <v>6027072040</v>
      </c>
      <c r="N714" t="str">
        <f>""</f>
        <v/>
      </c>
      <c r="O714" t="s">
        <v>2565</v>
      </c>
      <c r="P714" t="s">
        <v>2566</v>
      </c>
      <c r="R714" t="s">
        <v>964</v>
      </c>
      <c r="S714" t="s">
        <v>36</v>
      </c>
      <c r="T714" t="str">
        <f>"85013"</f>
        <v>85013</v>
      </c>
      <c r="U714" t="str">
        <f>""</f>
        <v/>
      </c>
      <c r="V714" t="s">
        <v>2566</v>
      </c>
      <c r="X714" t="s">
        <v>964</v>
      </c>
      <c r="Y714" t="s">
        <v>36</v>
      </c>
      <c r="Z714" t="str">
        <f>"85013"</f>
        <v>85013</v>
      </c>
      <c r="AA714" t="str">
        <f>""</f>
        <v/>
      </c>
      <c r="AB714" t="s">
        <v>2345</v>
      </c>
    </row>
    <row r="715" spans="1:28" x14ac:dyDescent="0.25">
      <c r="A715">
        <v>4262</v>
      </c>
      <c r="B715" t="str">
        <f t="shared" si="101"/>
        <v>070408000</v>
      </c>
      <c r="C715" t="s">
        <v>2557</v>
      </c>
      <c r="D715">
        <v>5279</v>
      </c>
      <c r="E715" t="str">
        <f>"070408103"</f>
        <v>070408103</v>
      </c>
      <c r="F715" t="s">
        <v>2567</v>
      </c>
      <c r="G715" t="s">
        <v>42</v>
      </c>
      <c r="H715" t="s">
        <v>2563</v>
      </c>
      <c r="I715" t="s">
        <v>2564</v>
      </c>
      <c r="J715" t="s">
        <v>315</v>
      </c>
      <c r="K715" t="str">
        <f>"6027072330"</f>
        <v>6027072330</v>
      </c>
      <c r="L715" t="str">
        <f>""</f>
        <v/>
      </c>
      <c r="M715" t="str">
        <f>"6027072340"</f>
        <v>6027072340</v>
      </c>
      <c r="N715" t="str">
        <f>""</f>
        <v/>
      </c>
      <c r="O715" t="s">
        <v>2565</v>
      </c>
      <c r="P715" t="s">
        <v>2568</v>
      </c>
      <c r="R715" t="s">
        <v>964</v>
      </c>
      <c r="S715" t="s">
        <v>36</v>
      </c>
      <c r="T715" t="str">
        <f>"85013"</f>
        <v>85013</v>
      </c>
      <c r="U715" t="str">
        <f>""</f>
        <v/>
      </c>
      <c r="V715" t="s">
        <v>2568</v>
      </c>
      <c r="X715" t="s">
        <v>964</v>
      </c>
      <c r="Y715" t="s">
        <v>36</v>
      </c>
      <c r="Z715" t="str">
        <f>"85013"</f>
        <v>85013</v>
      </c>
      <c r="AA715" t="str">
        <f>""</f>
        <v/>
      </c>
      <c r="AB715" t="s">
        <v>2345</v>
      </c>
    </row>
    <row r="716" spans="1:28" x14ac:dyDescent="0.25">
      <c r="A716">
        <v>4262</v>
      </c>
      <c r="B716" t="str">
        <f t="shared" si="101"/>
        <v>070408000</v>
      </c>
      <c r="C716" t="s">
        <v>2557</v>
      </c>
      <c r="D716">
        <v>5280</v>
      </c>
      <c r="E716" t="str">
        <f>"070408104"</f>
        <v>070408104</v>
      </c>
      <c r="F716" t="s">
        <v>2569</v>
      </c>
      <c r="G716" t="s">
        <v>42</v>
      </c>
      <c r="H716" t="s">
        <v>2570</v>
      </c>
      <c r="I716" t="s">
        <v>2571</v>
      </c>
      <c r="J716" t="s">
        <v>926</v>
      </c>
      <c r="K716" t="str">
        <f>"6027072430"</f>
        <v>6027072430</v>
      </c>
      <c r="L716" t="str">
        <f>""</f>
        <v/>
      </c>
      <c r="M716" t="str">
        <f>""</f>
        <v/>
      </c>
      <c r="N716" t="str">
        <f>""</f>
        <v/>
      </c>
      <c r="O716" t="s">
        <v>2572</v>
      </c>
      <c r="P716" t="s">
        <v>2573</v>
      </c>
      <c r="R716" t="s">
        <v>964</v>
      </c>
      <c r="S716" t="s">
        <v>36</v>
      </c>
      <c r="T716" t="str">
        <f>"85013"</f>
        <v>85013</v>
      </c>
      <c r="U716" t="str">
        <f>""</f>
        <v/>
      </c>
      <c r="V716" t="s">
        <v>2573</v>
      </c>
      <c r="X716" t="s">
        <v>964</v>
      </c>
      <c r="Y716" t="s">
        <v>36</v>
      </c>
      <c r="Z716" t="str">
        <f>"85013"</f>
        <v>85013</v>
      </c>
      <c r="AA716" t="str">
        <f>""</f>
        <v/>
      </c>
      <c r="AB716" t="s">
        <v>2345</v>
      </c>
    </row>
    <row r="717" spans="1:28" x14ac:dyDescent="0.25">
      <c r="A717">
        <v>4262</v>
      </c>
      <c r="B717" t="str">
        <f t="shared" si="101"/>
        <v>070408000</v>
      </c>
      <c r="C717" t="s">
        <v>2557</v>
      </c>
      <c r="D717">
        <v>5281</v>
      </c>
      <c r="E717" t="str">
        <f>"070408106"</f>
        <v>070408106</v>
      </c>
      <c r="F717" t="s">
        <v>2574</v>
      </c>
      <c r="G717" t="s">
        <v>42</v>
      </c>
      <c r="H717" t="s">
        <v>320</v>
      </c>
      <c r="I717" t="s">
        <v>2575</v>
      </c>
      <c r="J717" t="s">
        <v>926</v>
      </c>
      <c r="K717" t="str">
        <f>"6027072630"</f>
        <v>6027072630</v>
      </c>
      <c r="L717" t="str">
        <f>""</f>
        <v/>
      </c>
      <c r="M717" t="str">
        <f>""</f>
        <v/>
      </c>
      <c r="N717" t="str">
        <f>""</f>
        <v/>
      </c>
      <c r="O717" t="s">
        <v>2576</v>
      </c>
      <c r="P717" t="s">
        <v>2577</v>
      </c>
      <c r="R717" t="s">
        <v>964</v>
      </c>
      <c r="S717" t="s">
        <v>36</v>
      </c>
      <c r="T717" t="str">
        <f>"85014"</f>
        <v>85014</v>
      </c>
      <c r="U717" t="str">
        <f>""</f>
        <v/>
      </c>
      <c r="V717" t="s">
        <v>2577</v>
      </c>
      <c r="X717" t="s">
        <v>964</v>
      </c>
      <c r="Y717" t="s">
        <v>36</v>
      </c>
      <c r="Z717" t="str">
        <f>"85014"</f>
        <v>85014</v>
      </c>
      <c r="AA717" t="str">
        <f>""</f>
        <v/>
      </c>
      <c r="AB717" t="s">
        <v>2345</v>
      </c>
    </row>
    <row r="718" spans="1:28" x14ac:dyDescent="0.25">
      <c r="A718">
        <v>4262</v>
      </c>
      <c r="B718" t="str">
        <f t="shared" si="101"/>
        <v>070408000</v>
      </c>
      <c r="C718" t="s">
        <v>2557</v>
      </c>
      <c r="D718">
        <v>5282</v>
      </c>
      <c r="E718" t="str">
        <f>"070408107"</f>
        <v>070408107</v>
      </c>
      <c r="F718" t="s">
        <v>2578</v>
      </c>
      <c r="G718" t="s">
        <v>42</v>
      </c>
      <c r="H718" t="s">
        <v>398</v>
      </c>
      <c r="I718" t="s">
        <v>2579</v>
      </c>
      <c r="J718" t="s">
        <v>926</v>
      </c>
      <c r="K718" t="str">
        <f>"6027072730"</f>
        <v>6027072730</v>
      </c>
      <c r="L718" t="str">
        <f>""</f>
        <v/>
      </c>
      <c r="M718" t="str">
        <f>""</f>
        <v/>
      </c>
      <c r="N718" t="str">
        <f>""</f>
        <v/>
      </c>
      <c r="O718" t="s">
        <v>2580</v>
      </c>
      <c r="P718" t="s">
        <v>2581</v>
      </c>
      <c r="R718" t="s">
        <v>964</v>
      </c>
      <c r="S718" t="s">
        <v>36</v>
      </c>
      <c r="T718" t="str">
        <f>"85014"</f>
        <v>85014</v>
      </c>
      <c r="U718" t="str">
        <f>""</f>
        <v/>
      </c>
      <c r="V718" t="s">
        <v>2581</v>
      </c>
      <c r="X718" t="s">
        <v>964</v>
      </c>
      <c r="Y718" t="s">
        <v>36</v>
      </c>
      <c r="Z718" t="str">
        <f>"85014"</f>
        <v>85014</v>
      </c>
      <c r="AA718" t="str">
        <f>""</f>
        <v/>
      </c>
      <c r="AB718" t="s">
        <v>2345</v>
      </c>
    </row>
    <row r="719" spans="1:28" x14ac:dyDescent="0.25">
      <c r="A719">
        <v>4262</v>
      </c>
      <c r="B719" t="str">
        <f t="shared" si="101"/>
        <v>070408000</v>
      </c>
      <c r="C719" t="s">
        <v>2557</v>
      </c>
      <c r="D719">
        <v>6021</v>
      </c>
      <c r="E719" t="str">
        <f>"070408105"</f>
        <v>070408105</v>
      </c>
      <c r="F719" t="s">
        <v>2582</v>
      </c>
      <c r="G719" t="s">
        <v>42</v>
      </c>
      <c r="H719" t="s">
        <v>2558</v>
      </c>
      <c r="I719" t="s">
        <v>2559</v>
      </c>
      <c r="J719" t="s">
        <v>1935</v>
      </c>
      <c r="K719" t="str">
        <f>"6027072020"</f>
        <v>6027072020</v>
      </c>
      <c r="L719" t="str">
        <f>""</f>
        <v/>
      </c>
      <c r="M719" t="str">
        <f>"6027072040"</f>
        <v>6027072040</v>
      </c>
      <c r="N719" t="str">
        <f>""</f>
        <v/>
      </c>
      <c r="O719" t="s">
        <v>2560</v>
      </c>
      <c r="P719" t="s">
        <v>2583</v>
      </c>
      <c r="R719" t="s">
        <v>964</v>
      </c>
      <c r="S719" t="s">
        <v>36</v>
      </c>
      <c r="T719" t="str">
        <f>"85014"</f>
        <v>85014</v>
      </c>
      <c r="U719" t="str">
        <f>""</f>
        <v/>
      </c>
      <c r="V719" t="s">
        <v>2583</v>
      </c>
      <c r="X719" t="s">
        <v>964</v>
      </c>
      <c r="Y719" t="s">
        <v>36</v>
      </c>
      <c r="Z719" t="str">
        <f>"85014"</f>
        <v>85014</v>
      </c>
      <c r="AA719" t="str">
        <f>""</f>
        <v/>
      </c>
      <c r="AB719" t="s">
        <v>2345</v>
      </c>
    </row>
    <row r="720" spans="1:28" x14ac:dyDescent="0.25">
      <c r="A720">
        <v>4263</v>
      </c>
      <c r="B720" t="str">
        <f t="shared" ref="B720:B729" si="102">"070414000"</f>
        <v>070414000</v>
      </c>
      <c r="C720" t="s">
        <v>2584</v>
      </c>
      <c r="D720">
        <v>0</v>
      </c>
      <c r="E720" t="str">
        <f>""</f>
        <v/>
      </c>
      <c r="G720" t="s">
        <v>29</v>
      </c>
      <c r="H720" t="s">
        <v>1141</v>
      </c>
      <c r="I720" t="s">
        <v>2585</v>
      </c>
      <c r="J720" t="s">
        <v>202</v>
      </c>
      <c r="K720" t="str">
        <f>"6023816048"</f>
        <v>6023816048</v>
      </c>
      <c r="L720" t="str">
        <f>""</f>
        <v/>
      </c>
      <c r="M720" t="str">
        <f>"6023816043"</f>
        <v>6023816043</v>
      </c>
      <c r="N720" t="str">
        <f>""</f>
        <v/>
      </c>
      <c r="O720" t="s">
        <v>2586</v>
      </c>
      <c r="P720" t="s">
        <v>2587</v>
      </c>
      <c r="R720" t="s">
        <v>964</v>
      </c>
      <c r="S720" t="s">
        <v>36</v>
      </c>
      <c r="T720" t="str">
        <f>"85008"</f>
        <v>85008</v>
      </c>
      <c r="U720" t="str">
        <f>""</f>
        <v/>
      </c>
      <c r="V720" t="s">
        <v>2587</v>
      </c>
      <c r="X720" t="s">
        <v>964</v>
      </c>
      <c r="Y720" t="s">
        <v>36</v>
      </c>
      <c r="Z720" t="str">
        <f>"85008"</f>
        <v>85008</v>
      </c>
      <c r="AA720" t="str">
        <f>""</f>
        <v/>
      </c>
      <c r="AB720" t="s">
        <v>516</v>
      </c>
    </row>
    <row r="721" spans="1:28" x14ac:dyDescent="0.25">
      <c r="A721">
        <v>4263</v>
      </c>
      <c r="B721" t="str">
        <f t="shared" si="102"/>
        <v>070414000</v>
      </c>
      <c r="C721" t="s">
        <v>2584</v>
      </c>
      <c r="D721">
        <v>5283</v>
      </c>
      <c r="E721" t="str">
        <f>"070414110"</f>
        <v>070414110</v>
      </c>
      <c r="F721" t="s">
        <v>2588</v>
      </c>
      <c r="G721" t="s">
        <v>42</v>
      </c>
      <c r="H721" t="s">
        <v>442</v>
      </c>
      <c r="I721" t="s">
        <v>2589</v>
      </c>
      <c r="J721" t="s">
        <v>315</v>
      </c>
      <c r="K721" t="str">
        <f>"6023816060"</f>
        <v>6023816060</v>
      </c>
      <c r="L721" t="str">
        <f>""</f>
        <v/>
      </c>
      <c r="M721" t="str">
        <f>""</f>
        <v/>
      </c>
      <c r="N721" t="str">
        <f>""</f>
        <v/>
      </c>
      <c r="O721" t="s">
        <v>2590</v>
      </c>
      <c r="P721" t="s">
        <v>2587</v>
      </c>
      <c r="R721" t="s">
        <v>964</v>
      </c>
      <c r="S721" t="s">
        <v>36</v>
      </c>
      <c r="T721" t="str">
        <f>"85008"</f>
        <v>85008</v>
      </c>
      <c r="U721" t="str">
        <f>""</f>
        <v/>
      </c>
      <c r="V721" t="s">
        <v>2587</v>
      </c>
      <c r="X721" t="s">
        <v>964</v>
      </c>
      <c r="Y721" t="s">
        <v>36</v>
      </c>
      <c r="Z721" t="str">
        <f>"85008"</f>
        <v>85008</v>
      </c>
      <c r="AA721" t="str">
        <f>""</f>
        <v/>
      </c>
      <c r="AB721" t="s">
        <v>516</v>
      </c>
    </row>
    <row r="722" spans="1:28" x14ac:dyDescent="0.25">
      <c r="A722">
        <v>4263</v>
      </c>
      <c r="B722" t="str">
        <f t="shared" si="102"/>
        <v>070414000</v>
      </c>
      <c r="C722" t="s">
        <v>2584</v>
      </c>
      <c r="D722">
        <v>5284</v>
      </c>
      <c r="E722" t="str">
        <f>"070414130"</f>
        <v>070414130</v>
      </c>
      <c r="F722" t="s">
        <v>2591</v>
      </c>
      <c r="G722" t="s">
        <v>42</v>
      </c>
      <c r="H722" t="s">
        <v>1949</v>
      </c>
      <c r="I722" t="s">
        <v>2592</v>
      </c>
      <c r="J722" t="s">
        <v>315</v>
      </c>
      <c r="K722" t="str">
        <f>"6023816165"</f>
        <v>6023816165</v>
      </c>
      <c r="L722" t="str">
        <f>""</f>
        <v/>
      </c>
      <c r="M722" t="str">
        <f>""</f>
        <v/>
      </c>
      <c r="N722" t="str">
        <f>""</f>
        <v/>
      </c>
      <c r="O722" t="s">
        <v>2593</v>
      </c>
      <c r="P722" t="s">
        <v>2594</v>
      </c>
      <c r="Q722" t="s">
        <v>2587</v>
      </c>
      <c r="R722" t="s">
        <v>964</v>
      </c>
      <c r="S722" t="s">
        <v>36</v>
      </c>
      <c r="T722" t="str">
        <f>"85008"</f>
        <v>85008</v>
      </c>
      <c r="U722" t="str">
        <f>""</f>
        <v/>
      </c>
      <c r="V722" t="s">
        <v>2595</v>
      </c>
      <c r="X722" t="s">
        <v>964</v>
      </c>
      <c r="Y722" t="s">
        <v>36</v>
      </c>
      <c r="Z722" t="str">
        <f>"85016"</f>
        <v>85016</v>
      </c>
      <c r="AA722" t="str">
        <f>""</f>
        <v/>
      </c>
      <c r="AB722" t="s">
        <v>516</v>
      </c>
    </row>
    <row r="723" spans="1:28" x14ac:dyDescent="0.25">
      <c r="A723">
        <v>4263</v>
      </c>
      <c r="B723" t="str">
        <f t="shared" si="102"/>
        <v>070414000</v>
      </c>
      <c r="C723" t="s">
        <v>2584</v>
      </c>
      <c r="D723">
        <v>5285</v>
      </c>
      <c r="E723" t="str">
        <f>"070414140"</f>
        <v>070414140</v>
      </c>
      <c r="F723" t="s">
        <v>2596</v>
      </c>
      <c r="G723" t="s">
        <v>42</v>
      </c>
      <c r="H723" t="s">
        <v>442</v>
      </c>
      <c r="I723" t="s">
        <v>2589</v>
      </c>
      <c r="J723" t="s">
        <v>315</v>
      </c>
      <c r="K723" t="str">
        <f>"6023816088"</f>
        <v>6023816088</v>
      </c>
      <c r="L723" t="str">
        <f>""</f>
        <v/>
      </c>
      <c r="M723" t="str">
        <f>"6023816094"</f>
        <v>6023816094</v>
      </c>
      <c r="N723" t="str">
        <f>""</f>
        <v/>
      </c>
      <c r="O723" t="s">
        <v>2590</v>
      </c>
      <c r="P723" t="s">
        <v>2597</v>
      </c>
      <c r="Q723" t="s">
        <v>2587</v>
      </c>
      <c r="R723" t="s">
        <v>964</v>
      </c>
      <c r="S723" t="s">
        <v>36</v>
      </c>
      <c r="T723" t="str">
        <f>"85008"</f>
        <v>85008</v>
      </c>
      <c r="U723" t="str">
        <f>""</f>
        <v/>
      </c>
      <c r="V723" t="s">
        <v>2598</v>
      </c>
      <c r="X723" t="s">
        <v>2599</v>
      </c>
      <c r="Y723" t="s">
        <v>36</v>
      </c>
      <c r="Z723" t="str">
        <f>"85016"</f>
        <v>85016</v>
      </c>
      <c r="AA723" t="str">
        <f>""</f>
        <v/>
      </c>
      <c r="AB723" t="s">
        <v>516</v>
      </c>
    </row>
    <row r="724" spans="1:28" x14ac:dyDescent="0.25">
      <c r="A724">
        <v>4263</v>
      </c>
      <c r="B724" t="str">
        <f t="shared" si="102"/>
        <v>070414000</v>
      </c>
      <c r="C724" t="s">
        <v>2584</v>
      </c>
      <c r="D724">
        <v>5286</v>
      </c>
      <c r="E724" t="str">
        <f>"070414150"</f>
        <v>070414150</v>
      </c>
      <c r="F724" t="s">
        <v>2600</v>
      </c>
      <c r="G724" t="s">
        <v>42</v>
      </c>
      <c r="H724" t="s">
        <v>2601</v>
      </c>
      <c r="I724" t="s">
        <v>2602</v>
      </c>
      <c r="J724" t="s">
        <v>315</v>
      </c>
      <c r="K724" t="str">
        <f>"6023816128"</f>
        <v>6023816128</v>
      </c>
      <c r="L724" t="str">
        <f>""</f>
        <v/>
      </c>
      <c r="M724" t="str">
        <f>""</f>
        <v/>
      </c>
      <c r="N724" t="str">
        <f>""</f>
        <v/>
      </c>
      <c r="O724" t="s">
        <v>2603</v>
      </c>
      <c r="P724" t="s">
        <v>2604</v>
      </c>
      <c r="R724" t="s">
        <v>964</v>
      </c>
      <c r="S724" t="s">
        <v>36</v>
      </c>
      <c r="T724" t="str">
        <f>"85006"</f>
        <v>85006</v>
      </c>
      <c r="U724" t="str">
        <f>""</f>
        <v/>
      </c>
      <c r="V724" t="s">
        <v>2604</v>
      </c>
      <c r="X724" t="s">
        <v>964</v>
      </c>
      <c r="Y724" t="s">
        <v>36</v>
      </c>
      <c r="Z724" t="str">
        <f>"85006"</f>
        <v>85006</v>
      </c>
      <c r="AA724" t="str">
        <f>""</f>
        <v/>
      </c>
      <c r="AB724" t="s">
        <v>516</v>
      </c>
    </row>
    <row r="725" spans="1:28" x14ac:dyDescent="0.25">
      <c r="A725">
        <v>4263</v>
      </c>
      <c r="B725" t="str">
        <f t="shared" si="102"/>
        <v>070414000</v>
      </c>
      <c r="C725" t="s">
        <v>2584</v>
      </c>
      <c r="D725">
        <v>5287</v>
      </c>
      <c r="E725" t="str">
        <f>"070414160"</f>
        <v>070414160</v>
      </c>
      <c r="F725" t="s">
        <v>2605</v>
      </c>
      <c r="G725" t="s">
        <v>42</v>
      </c>
      <c r="H725" t="s">
        <v>1305</v>
      </c>
      <c r="I725" t="s">
        <v>897</v>
      </c>
      <c r="J725" t="s">
        <v>2606</v>
      </c>
      <c r="K725" t="str">
        <f>"6023816148"</f>
        <v>6023816148</v>
      </c>
      <c r="L725" t="str">
        <f>""</f>
        <v/>
      </c>
      <c r="M725" t="str">
        <f>""</f>
        <v/>
      </c>
      <c r="N725" t="str">
        <f>""</f>
        <v/>
      </c>
      <c r="O725" t="s">
        <v>2607</v>
      </c>
      <c r="P725" t="s">
        <v>2597</v>
      </c>
      <c r="Q725" t="s">
        <v>2587</v>
      </c>
      <c r="R725" t="s">
        <v>964</v>
      </c>
      <c r="S725" t="s">
        <v>36</v>
      </c>
      <c r="T725" t="str">
        <f>"85008"</f>
        <v>85008</v>
      </c>
      <c r="U725" t="str">
        <f>""</f>
        <v/>
      </c>
      <c r="V725" t="s">
        <v>2608</v>
      </c>
      <c r="X725" t="s">
        <v>964</v>
      </c>
      <c r="Y725" t="s">
        <v>36</v>
      </c>
      <c r="Z725" t="str">
        <f>"85018"</f>
        <v>85018</v>
      </c>
      <c r="AA725" t="str">
        <f>""</f>
        <v/>
      </c>
      <c r="AB725" t="s">
        <v>516</v>
      </c>
    </row>
    <row r="726" spans="1:28" x14ac:dyDescent="0.25">
      <c r="A726">
        <v>4263</v>
      </c>
      <c r="B726" t="str">
        <f t="shared" si="102"/>
        <v>070414000</v>
      </c>
      <c r="C726" t="s">
        <v>2584</v>
      </c>
      <c r="D726">
        <v>5288</v>
      </c>
      <c r="E726" t="str">
        <f>"070414170"</f>
        <v>070414170</v>
      </c>
      <c r="F726" t="s">
        <v>2609</v>
      </c>
      <c r="G726" t="s">
        <v>42</v>
      </c>
      <c r="H726" t="s">
        <v>2365</v>
      </c>
      <c r="I726" t="s">
        <v>1590</v>
      </c>
      <c r="J726" t="s">
        <v>315</v>
      </c>
      <c r="K726" t="str">
        <f>"6023816108"</f>
        <v>6023816108</v>
      </c>
      <c r="L726" t="str">
        <f>""</f>
        <v/>
      </c>
      <c r="M726" t="str">
        <f>"6023816118"</f>
        <v>6023816118</v>
      </c>
      <c r="N726" t="str">
        <f>""</f>
        <v/>
      </c>
      <c r="O726" t="s">
        <v>2610</v>
      </c>
      <c r="P726" t="s">
        <v>2611</v>
      </c>
      <c r="R726" t="s">
        <v>964</v>
      </c>
      <c r="S726" t="s">
        <v>36</v>
      </c>
      <c r="T726" t="str">
        <f>"85008"</f>
        <v>85008</v>
      </c>
      <c r="U726" t="str">
        <f>""</f>
        <v/>
      </c>
      <c r="V726" t="s">
        <v>2612</v>
      </c>
      <c r="X726" t="s">
        <v>964</v>
      </c>
      <c r="Y726" t="s">
        <v>36</v>
      </c>
      <c r="Z726" t="str">
        <f>"85008"</f>
        <v>85008</v>
      </c>
      <c r="AA726" t="str">
        <f>""</f>
        <v/>
      </c>
      <c r="AB726" t="s">
        <v>516</v>
      </c>
    </row>
    <row r="727" spans="1:28" x14ac:dyDescent="0.25">
      <c r="A727">
        <v>4263</v>
      </c>
      <c r="B727" t="str">
        <f t="shared" si="102"/>
        <v>070414000</v>
      </c>
      <c r="C727" t="s">
        <v>2584</v>
      </c>
      <c r="D727">
        <v>5289</v>
      </c>
      <c r="E727" t="str">
        <f>"070414180"</f>
        <v>070414180</v>
      </c>
      <c r="F727" t="s">
        <v>2613</v>
      </c>
      <c r="G727" t="s">
        <v>42</v>
      </c>
      <c r="H727" t="s">
        <v>2614</v>
      </c>
      <c r="I727" t="s">
        <v>2174</v>
      </c>
      <c r="J727" t="s">
        <v>315</v>
      </c>
      <c r="K727" t="str">
        <f>"6023816048"</f>
        <v>6023816048</v>
      </c>
      <c r="L727" t="str">
        <f>""</f>
        <v/>
      </c>
      <c r="M727" t="str">
        <f>"6023816043"</f>
        <v>6023816043</v>
      </c>
      <c r="N727" t="str">
        <f>""</f>
        <v/>
      </c>
      <c r="O727" t="s">
        <v>2615</v>
      </c>
      <c r="P727" t="s">
        <v>2611</v>
      </c>
      <c r="R727" t="s">
        <v>964</v>
      </c>
      <c r="S727" t="s">
        <v>36</v>
      </c>
      <c r="T727" t="str">
        <f>"85008"</f>
        <v>85008</v>
      </c>
      <c r="U727" t="str">
        <f>""</f>
        <v/>
      </c>
      <c r="V727" t="s">
        <v>2616</v>
      </c>
      <c r="X727" t="s">
        <v>964</v>
      </c>
      <c r="Y727" t="s">
        <v>36</v>
      </c>
      <c r="Z727" t="str">
        <f>"85018"</f>
        <v>85018</v>
      </c>
      <c r="AA727" t="str">
        <f>""</f>
        <v/>
      </c>
      <c r="AB727" t="s">
        <v>516</v>
      </c>
    </row>
    <row r="728" spans="1:28" x14ac:dyDescent="0.25">
      <c r="A728">
        <v>4263</v>
      </c>
      <c r="B728" t="str">
        <f t="shared" si="102"/>
        <v>070414000</v>
      </c>
      <c r="C728" t="s">
        <v>2584</v>
      </c>
      <c r="D728">
        <v>6023</v>
      </c>
      <c r="E728" t="str">
        <f>"070414120"</f>
        <v>070414120</v>
      </c>
      <c r="F728" t="s">
        <v>2617</v>
      </c>
      <c r="G728" t="s">
        <v>42</v>
      </c>
      <c r="H728" t="s">
        <v>2618</v>
      </c>
      <c r="I728" t="s">
        <v>2619</v>
      </c>
      <c r="J728" t="s">
        <v>315</v>
      </c>
      <c r="K728" t="str">
        <f>"6023814646"</f>
        <v>6023814646</v>
      </c>
      <c r="L728" t="str">
        <f>""</f>
        <v/>
      </c>
      <c r="M728" t="str">
        <f>"6023814662"</f>
        <v>6023814662</v>
      </c>
      <c r="N728" t="str">
        <f>""</f>
        <v/>
      </c>
      <c r="O728" t="s">
        <v>2620</v>
      </c>
      <c r="P728" t="s">
        <v>2597</v>
      </c>
      <c r="Q728" t="s">
        <v>2621</v>
      </c>
      <c r="R728" t="s">
        <v>964</v>
      </c>
      <c r="S728" t="s">
        <v>36</v>
      </c>
      <c r="T728" t="str">
        <f>"85008"</f>
        <v>85008</v>
      </c>
      <c r="U728" t="str">
        <f>""</f>
        <v/>
      </c>
      <c r="V728" t="s">
        <v>2622</v>
      </c>
      <c r="X728" t="s">
        <v>964</v>
      </c>
      <c r="Y728" t="s">
        <v>36</v>
      </c>
      <c r="Z728" t="str">
        <f>"85008"</f>
        <v>85008</v>
      </c>
      <c r="AA728" t="str">
        <f>""</f>
        <v/>
      </c>
      <c r="AB728" t="s">
        <v>516</v>
      </c>
    </row>
    <row r="729" spans="1:28" x14ac:dyDescent="0.25">
      <c r="A729">
        <v>4263</v>
      </c>
      <c r="B729" t="str">
        <f t="shared" si="102"/>
        <v>070414000</v>
      </c>
      <c r="C729" t="s">
        <v>2584</v>
      </c>
      <c r="D729">
        <v>79285</v>
      </c>
      <c r="E729" t="str">
        <f>"070414190"</f>
        <v>070414190</v>
      </c>
      <c r="F729" t="s">
        <v>2623</v>
      </c>
      <c r="G729" t="s">
        <v>42</v>
      </c>
      <c r="H729" t="s">
        <v>2624</v>
      </c>
      <c r="I729" t="s">
        <v>2625</v>
      </c>
      <c r="J729" t="s">
        <v>2606</v>
      </c>
      <c r="K729" t="str">
        <f>"6023817951"</f>
        <v>6023817951</v>
      </c>
      <c r="L729" t="str">
        <f>""</f>
        <v/>
      </c>
      <c r="M729" t="str">
        <f>"6023814668"</f>
        <v>6023814668</v>
      </c>
      <c r="N729" t="str">
        <f>""</f>
        <v/>
      </c>
      <c r="O729" t="s">
        <v>2626</v>
      </c>
      <c r="P729" t="s">
        <v>2597</v>
      </c>
      <c r="Q729" t="s">
        <v>2587</v>
      </c>
      <c r="R729" t="s">
        <v>964</v>
      </c>
      <c r="S729" t="s">
        <v>36</v>
      </c>
      <c r="T729" t="str">
        <f>"85008"</f>
        <v>85008</v>
      </c>
      <c r="U729" t="str">
        <f>""</f>
        <v/>
      </c>
      <c r="V729" t="s">
        <v>2627</v>
      </c>
      <c r="X729" t="s">
        <v>964</v>
      </c>
      <c r="Y729" t="s">
        <v>36</v>
      </c>
      <c r="Z729" t="str">
        <f>"85006"</f>
        <v>85006</v>
      </c>
      <c r="AA729" t="str">
        <f>""</f>
        <v/>
      </c>
      <c r="AB729" t="s">
        <v>516</v>
      </c>
    </row>
    <row r="730" spans="1:28" x14ac:dyDescent="0.25">
      <c r="A730">
        <v>4264</v>
      </c>
      <c r="B730" t="str">
        <f>"070417000"</f>
        <v>070417000</v>
      </c>
      <c r="C730" t="s">
        <v>2628</v>
      </c>
      <c r="D730">
        <v>0</v>
      </c>
      <c r="E730" t="str">
        <f>""</f>
        <v/>
      </c>
      <c r="G730" t="s">
        <v>29</v>
      </c>
      <c r="H730" t="s">
        <v>2629</v>
      </c>
      <c r="I730" t="s">
        <v>2630</v>
      </c>
      <c r="J730" t="s">
        <v>1142</v>
      </c>
      <c r="K730" t="str">
        <f>"6235333930"</f>
        <v>6235333930</v>
      </c>
      <c r="L730" t="str">
        <f>""</f>
        <v/>
      </c>
      <c r="M730" t="str">
        <f>"6235333934"</f>
        <v>6235333934</v>
      </c>
      <c r="N730" t="str">
        <f>""</f>
        <v/>
      </c>
      <c r="O730" t="s">
        <v>2631</v>
      </c>
      <c r="P730" t="s">
        <v>2632</v>
      </c>
      <c r="R730" t="s">
        <v>2633</v>
      </c>
      <c r="S730" t="s">
        <v>36</v>
      </c>
      <c r="T730" t="str">
        <f>"85353"</f>
        <v>85353</v>
      </c>
      <c r="U730" t="str">
        <f>""</f>
        <v/>
      </c>
      <c r="V730" t="s">
        <v>2632</v>
      </c>
      <c r="X730" t="s">
        <v>2633</v>
      </c>
      <c r="Y730" t="s">
        <v>36</v>
      </c>
      <c r="Z730" t="str">
        <f>"85353"</f>
        <v>85353</v>
      </c>
      <c r="AA730" t="str">
        <f>""</f>
        <v/>
      </c>
      <c r="AB730" t="s">
        <v>86</v>
      </c>
    </row>
    <row r="731" spans="1:28" x14ac:dyDescent="0.25">
      <c r="A731">
        <v>4264</v>
      </c>
      <c r="B731" t="str">
        <f>"070417000"</f>
        <v>070417000</v>
      </c>
      <c r="C731" t="s">
        <v>2628</v>
      </c>
      <c r="D731">
        <v>6240</v>
      </c>
      <c r="E731" t="str">
        <f>"070417101"</f>
        <v>070417101</v>
      </c>
      <c r="F731" t="s">
        <v>2634</v>
      </c>
      <c r="G731" t="s">
        <v>42</v>
      </c>
      <c r="H731" t="s">
        <v>2629</v>
      </c>
      <c r="I731" t="s">
        <v>2630</v>
      </c>
      <c r="J731" t="s">
        <v>1142</v>
      </c>
      <c r="K731" t="str">
        <f>"6235333930"</f>
        <v>6235333930</v>
      </c>
      <c r="L731" t="str">
        <f>""</f>
        <v/>
      </c>
      <c r="M731" t="str">
        <f>"6235333934"</f>
        <v>6235333934</v>
      </c>
      <c r="N731" t="str">
        <f>""</f>
        <v/>
      </c>
      <c r="O731" t="s">
        <v>2631</v>
      </c>
      <c r="P731" t="s">
        <v>2635</v>
      </c>
      <c r="R731" t="s">
        <v>2633</v>
      </c>
      <c r="S731" t="s">
        <v>36</v>
      </c>
      <c r="T731" t="str">
        <f>"85353"</f>
        <v>85353</v>
      </c>
      <c r="U731" t="str">
        <f>""</f>
        <v/>
      </c>
      <c r="V731" t="s">
        <v>2635</v>
      </c>
      <c r="X731" t="s">
        <v>2633</v>
      </c>
      <c r="Y731" t="s">
        <v>36</v>
      </c>
      <c r="Z731" t="str">
        <f>"85353"</f>
        <v>85353</v>
      </c>
      <c r="AA731" t="str">
        <f>""</f>
        <v/>
      </c>
      <c r="AB731" t="s">
        <v>86</v>
      </c>
    </row>
    <row r="732" spans="1:28" x14ac:dyDescent="0.25">
      <c r="A732">
        <v>4264</v>
      </c>
      <c r="B732" t="str">
        <f>"070417000"</f>
        <v>070417000</v>
      </c>
      <c r="C732" t="s">
        <v>2628</v>
      </c>
      <c r="D732">
        <v>10869</v>
      </c>
      <c r="E732" t="str">
        <f>"070417102"</f>
        <v>070417102</v>
      </c>
      <c r="F732" t="s">
        <v>2636</v>
      </c>
      <c r="G732" t="s">
        <v>42</v>
      </c>
      <c r="H732" t="s">
        <v>2629</v>
      </c>
      <c r="I732" t="s">
        <v>2630</v>
      </c>
      <c r="J732" t="s">
        <v>1142</v>
      </c>
      <c r="K732" t="str">
        <f>"6235333930"</f>
        <v>6235333930</v>
      </c>
      <c r="L732" t="str">
        <f>""</f>
        <v/>
      </c>
      <c r="M732" t="str">
        <f>"6235333934"</f>
        <v>6235333934</v>
      </c>
      <c r="N732" t="str">
        <f>""</f>
        <v/>
      </c>
      <c r="O732" t="s">
        <v>2631</v>
      </c>
      <c r="P732" t="s">
        <v>2637</v>
      </c>
      <c r="R732" t="s">
        <v>2638</v>
      </c>
      <c r="S732" t="s">
        <v>36</v>
      </c>
      <c r="T732" t="str">
        <f>"85353"</f>
        <v>85353</v>
      </c>
      <c r="U732" t="str">
        <f>""</f>
        <v/>
      </c>
      <c r="V732" t="s">
        <v>2637</v>
      </c>
      <c r="X732" t="s">
        <v>2638</v>
      </c>
      <c r="Y732" t="s">
        <v>36</v>
      </c>
      <c r="Z732" t="str">
        <f>"85353"</f>
        <v>85353</v>
      </c>
      <c r="AA732" t="str">
        <f>""</f>
        <v/>
      </c>
      <c r="AB732" t="s">
        <v>86</v>
      </c>
    </row>
    <row r="733" spans="1:28" x14ac:dyDescent="0.25">
      <c r="A733">
        <v>4264</v>
      </c>
      <c r="B733" t="str">
        <f>"070417000"</f>
        <v>070417000</v>
      </c>
      <c r="C733" t="s">
        <v>2628</v>
      </c>
      <c r="D733">
        <v>79402</v>
      </c>
      <c r="E733" t="str">
        <f>"070417103"</f>
        <v>070417103</v>
      </c>
      <c r="F733" t="s">
        <v>2639</v>
      </c>
      <c r="G733" t="s">
        <v>42</v>
      </c>
      <c r="H733" t="s">
        <v>2629</v>
      </c>
      <c r="I733" t="s">
        <v>2630</v>
      </c>
      <c r="J733" t="s">
        <v>1142</v>
      </c>
      <c r="K733" t="str">
        <f>"6235333930"</f>
        <v>6235333930</v>
      </c>
      <c r="L733" t="str">
        <f>""</f>
        <v/>
      </c>
      <c r="M733" t="str">
        <f>"6235333934"</f>
        <v>6235333934</v>
      </c>
      <c r="N733" t="str">
        <f>""</f>
        <v/>
      </c>
      <c r="O733" t="s">
        <v>2631</v>
      </c>
      <c r="P733" t="s">
        <v>2640</v>
      </c>
      <c r="R733" t="s">
        <v>2633</v>
      </c>
      <c r="S733" t="s">
        <v>36</v>
      </c>
      <c r="T733" t="str">
        <f>"85353"</f>
        <v>85353</v>
      </c>
      <c r="U733" t="str">
        <f>""</f>
        <v/>
      </c>
      <c r="V733" t="s">
        <v>2641</v>
      </c>
      <c r="X733" t="s">
        <v>964</v>
      </c>
      <c r="Y733" t="s">
        <v>36</v>
      </c>
      <c r="Z733" t="str">
        <f>"85037"</f>
        <v>85037</v>
      </c>
      <c r="AA733" t="str">
        <f>""</f>
        <v/>
      </c>
      <c r="AB733" t="s">
        <v>86</v>
      </c>
    </row>
    <row r="734" spans="1:28" x14ac:dyDescent="0.25">
      <c r="A734">
        <v>4264</v>
      </c>
      <c r="B734" t="str">
        <f>"070417000"</f>
        <v>070417000</v>
      </c>
      <c r="C734" t="s">
        <v>2628</v>
      </c>
      <c r="D734">
        <v>87526</v>
      </c>
      <c r="E734" t="str">
        <f>"070417104"</f>
        <v>070417104</v>
      </c>
      <c r="F734" t="s">
        <v>2269</v>
      </c>
      <c r="G734" t="s">
        <v>42</v>
      </c>
      <c r="H734" t="s">
        <v>2629</v>
      </c>
      <c r="I734" t="s">
        <v>2630</v>
      </c>
      <c r="J734" t="s">
        <v>1142</v>
      </c>
      <c r="K734" t="str">
        <f>"6235333930"</f>
        <v>6235333930</v>
      </c>
      <c r="L734" t="str">
        <f>""</f>
        <v/>
      </c>
      <c r="M734" t="str">
        <f>"6235333934"</f>
        <v>6235333934</v>
      </c>
      <c r="N734" t="str">
        <f>""</f>
        <v/>
      </c>
      <c r="O734" t="s">
        <v>2631</v>
      </c>
      <c r="P734" t="s">
        <v>2642</v>
      </c>
      <c r="R734" t="s">
        <v>964</v>
      </c>
      <c r="S734" t="s">
        <v>36</v>
      </c>
      <c r="T734" t="str">
        <f>"85037"</f>
        <v>85037</v>
      </c>
      <c r="U734" t="str">
        <f>""</f>
        <v/>
      </c>
      <c r="V734" t="s">
        <v>2642</v>
      </c>
      <c r="X734" t="s">
        <v>964</v>
      </c>
      <c r="Y734" t="s">
        <v>36</v>
      </c>
      <c r="Z734" t="str">
        <f>"85037"</f>
        <v>85037</v>
      </c>
      <c r="AA734" t="str">
        <f>""</f>
        <v/>
      </c>
      <c r="AB734" t="s">
        <v>86</v>
      </c>
    </row>
    <row r="735" spans="1:28" x14ac:dyDescent="0.25">
      <c r="A735">
        <v>4265</v>
      </c>
      <c r="B735" t="str">
        <f t="shared" ref="B735:B740" si="103">"070421000"</f>
        <v>070421000</v>
      </c>
      <c r="C735" t="s">
        <v>2643</v>
      </c>
      <c r="D735">
        <v>0</v>
      </c>
      <c r="E735" t="str">
        <f>""</f>
        <v/>
      </c>
      <c r="G735" t="s">
        <v>29</v>
      </c>
      <c r="H735" t="s">
        <v>180</v>
      </c>
      <c r="I735" t="s">
        <v>2644</v>
      </c>
      <c r="J735" t="s">
        <v>134</v>
      </c>
      <c r="K735" t="str">
        <f>"6023535059"</f>
        <v>6023535059</v>
      </c>
      <c r="L735" t="str">
        <f>""</f>
        <v/>
      </c>
      <c r="M735" t="str">
        <f>"6023535003"</f>
        <v>6023535003</v>
      </c>
      <c r="N735" t="str">
        <f>""</f>
        <v/>
      </c>
      <c r="O735" t="s">
        <v>2645</v>
      </c>
      <c r="P735" t="s">
        <v>2646</v>
      </c>
      <c r="R735" t="s">
        <v>964</v>
      </c>
      <c r="S735" t="s">
        <v>36</v>
      </c>
      <c r="T735" t="str">
        <f t="shared" ref="T735:T740" si="104">"85009"</f>
        <v>85009</v>
      </c>
      <c r="U735" t="str">
        <f>""</f>
        <v/>
      </c>
      <c r="V735" t="s">
        <v>2646</v>
      </c>
      <c r="X735" t="s">
        <v>964</v>
      </c>
      <c r="Y735" t="s">
        <v>36</v>
      </c>
      <c r="Z735" t="str">
        <f t="shared" ref="Z735:Z740" si="105">"85009"</f>
        <v>85009</v>
      </c>
      <c r="AA735" t="str">
        <f>""</f>
        <v/>
      </c>
      <c r="AB735" t="s">
        <v>2235</v>
      </c>
    </row>
    <row r="736" spans="1:28" x14ac:dyDescent="0.25">
      <c r="A736">
        <v>4265</v>
      </c>
      <c r="B736" t="str">
        <f t="shared" si="103"/>
        <v>070421000</v>
      </c>
      <c r="C736" t="s">
        <v>2643</v>
      </c>
      <c r="D736">
        <v>5290</v>
      </c>
      <c r="E736" t="str">
        <f>"070421101"</f>
        <v>070421101</v>
      </c>
      <c r="F736" t="s">
        <v>2647</v>
      </c>
      <c r="G736" t="s">
        <v>42</v>
      </c>
      <c r="H736" t="s">
        <v>383</v>
      </c>
      <c r="I736" t="s">
        <v>2648</v>
      </c>
      <c r="J736" t="s">
        <v>710</v>
      </c>
      <c r="K736" t="str">
        <f>"6023535009"</f>
        <v>6023535009</v>
      </c>
      <c r="L736" t="str">
        <f>""</f>
        <v/>
      </c>
      <c r="M736" t="str">
        <f>"6023535074"</f>
        <v>6023535074</v>
      </c>
      <c r="N736" t="str">
        <f>""</f>
        <v/>
      </c>
      <c r="O736" t="s">
        <v>2649</v>
      </c>
      <c r="P736" t="s">
        <v>2650</v>
      </c>
      <c r="R736" t="s">
        <v>964</v>
      </c>
      <c r="S736" t="s">
        <v>36</v>
      </c>
      <c r="T736" t="str">
        <f t="shared" si="104"/>
        <v>85009</v>
      </c>
      <c r="U736" t="str">
        <f>""</f>
        <v/>
      </c>
      <c r="V736" t="s">
        <v>2650</v>
      </c>
      <c r="X736" t="s">
        <v>964</v>
      </c>
      <c r="Y736" t="s">
        <v>36</v>
      </c>
      <c r="Z736" t="str">
        <f t="shared" si="105"/>
        <v>85009</v>
      </c>
      <c r="AA736" t="str">
        <f>""</f>
        <v/>
      </c>
      <c r="AB736" t="s">
        <v>2235</v>
      </c>
    </row>
    <row r="737" spans="1:28" x14ac:dyDescent="0.25">
      <c r="A737">
        <v>4265</v>
      </c>
      <c r="B737" t="str">
        <f t="shared" si="103"/>
        <v>070421000</v>
      </c>
      <c r="C737" t="s">
        <v>2643</v>
      </c>
      <c r="D737">
        <v>5291</v>
      </c>
      <c r="E737" t="str">
        <f>"070421102"</f>
        <v>070421102</v>
      </c>
      <c r="F737" t="s">
        <v>2651</v>
      </c>
      <c r="G737" t="s">
        <v>42</v>
      </c>
      <c r="H737" t="s">
        <v>383</v>
      </c>
      <c r="I737" t="s">
        <v>2648</v>
      </c>
      <c r="J737" t="s">
        <v>710</v>
      </c>
      <c r="K737" t="str">
        <f>"6023535009"</f>
        <v>6023535009</v>
      </c>
      <c r="L737" t="str">
        <f>""</f>
        <v/>
      </c>
      <c r="M737" t="str">
        <f>"6023535074"</f>
        <v>6023535074</v>
      </c>
      <c r="N737" t="str">
        <f>""</f>
        <v/>
      </c>
      <c r="O737" t="s">
        <v>2649</v>
      </c>
      <c r="P737" t="s">
        <v>2652</v>
      </c>
      <c r="R737" t="s">
        <v>964</v>
      </c>
      <c r="S737" t="s">
        <v>36</v>
      </c>
      <c r="T737" t="str">
        <f t="shared" si="104"/>
        <v>85009</v>
      </c>
      <c r="U737" t="str">
        <f>""</f>
        <v/>
      </c>
      <c r="V737" t="s">
        <v>2652</v>
      </c>
      <c r="X737" t="s">
        <v>964</v>
      </c>
      <c r="Y737" t="s">
        <v>36</v>
      </c>
      <c r="Z737" t="str">
        <f t="shared" si="105"/>
        <v>85009</v>
      </c>
      <c r="AA737" t="str">
        <f>""</f>
        <v/>
      </c>
      <c r="AB737" t="s">
        <v>2235</v>
      </c>
    </row>
    <row r="738" spans="1:28" x14ac:dyDescent="0.25">
      <c r="A738">
        <v>4265</v>
      </c>
      <c r="B738" t="str">
        <f t="shared" si="103"/>
        <v>070421000</v>
      </c>
      <c r="C738" t="s">
        <v>2643</v>
      </c>
      <c r="D738">
        <v>5292</v>
      </c>
      <c r="E738" t="str">
        <f>"070421103"</f>
        <v>070421103</v>
      </c>
      <c r="F738" t="s">
        <v>2653</v>
      </c>
      <c r="G738" t="s">
        <v>42</v>
      </c>
      <c r="H738" t="s">
        <v>383</v>
      </c>
      <c r="I738" t="s">
        <v>2648</v>
      </c>
      <c r="J738" t="s">
        <v>710</v>
      </c>
      <c r="K738" t="str">
        <f>"6023535009"</f>
        <v>6023535009</v>
      </c>
      <c r="L738" t="str">
        <f>""</f>
        <v/>
      </c>
      <c r="M738" t="str">
        <f>"6023535074"</f>
        <v>6023535074</v>
      </c>
      <c r="N738" t="str">
        <f>""</f>
        <v/>
      </c>
      <c r="O738" t="s">
        <v>2649</v>
      </c>
      <c r="P738" t="s">
        <v>2654</v>
      </c>
      <c r="R738" t="s">
        <v>964</v>
      </c>
      <c r="S738" t="s">
        <v>36</v>
      </c>
      <c r="T738" t="str">
        <f t="shared" si="104"/>
        <v>85009</v>
      </c>
      <c r="U738" t="str">
        <f>""</f>
        <v/>
      </c>
      <c r="V738" t="s">
        <v>2654</v>
      </c>
      <c r="X738" t="s">
        <v>964</v>
      </c>
      <c r="Y738" t="s">
        <v>36</v>
      </c>
      <c r="Z738" t="str">
        <f t="shared" si="105"/>
        <v>85009</v>
      </c>
      <c r="AA738" t="str">
        <f>""</f>
        <v/>
      </c>
      <c r="AB738" t="s">
        <v>2235</v>
      </c>
    </row>
    <row r="739" spans="1:28" x14ac:dyDescent="0.25">
      <c r="A739">
        <v>4265</v>
      </c>
      <c r="B739" t="str">
        <f t="shared" si="103"/>
        <v>070421000</v>
      </c>
      <c r="C739" t="s">
        <v>2643</v>
      </c>
      <c r="D739">
        <v>5293</v>
      </c>
      <c r="E739" t="str">
        <f>"070421104"</f>
        <v>070421104</v>
      </c>
      <c r="F739" t="s">
        <v>2655</v>
      </c>
      <c r="G739" t="s">
        <v>42</v>
      </c>
      <c r="H739" t="s">
        <v>383</v>
      </c>
      <c r="I739" t="s">
        <v>2648</v>
      </c>
      <c r="J739" t="s">
        <v>710</v>
      </c>
      <c r="K739" t="str">
        <f>"6023535009"</f>
        <v>6023535009</v>
      </c>
      <c r="L739" t="str">
        <f>""</f>
        <v/>
      </c>
      <c r="M739" t="str">
        <f>"6023535074"</f>
        <v>6023535074</v>
      </c>
      <c r="N739" t="str">
        <f>""</f>
        <v/>
      </c>
      <c r="O739" t="s">
        <v>2649</v>
      </c>
      <c r="P739" t="s">
        <v>2656</v>
      </c>
      <c r="R739" t="s">
        <v>964</v>
      </c>
      <c r="S739" t="s">
        <v>36</v>
      </c>
      <c r="T739" t="str">
        <f t="shared" si="104"/>
        <v>85009</v>
      </c>
      <c r="U739" t="str">
        <f>""</f>
        <v/>
      </c>
      <c r="V739" t="s">
        <v>2656</v>
      </c>
      <c r="X739" t="s">
        <v>964</v>
      </c>
      <c r="Y739" t="s">
        <v>36</v>
      </c>
      <c r="Z739" t="str">
        <f t="shared" si="105"/>
        <v>85009</v>
      </c>
      <c r="AA739" t="str">
        <f>""</f>
        <v/>
      </c>
      <c r="AB739" t="s">
        <v>2235</v>
      </c>
    </row>
    <row r="740" spans="1:28" x14ac:dyDescent="0.25">
      <c r="A740">
        <v>4265</v>
      </c>
      <c r="B740" t="str">
        <f t="shared" si="103"/>
        <v>070421000</v>
      </c>
      <c r="C740" t="s">
        <v>2643</v>
      </c>
      <c r="D740">
        <v>80183</v>
      </c>
      <c r="E740" t="str">
        <f>"072015001"</f>
        <v>072015001</v>
      </c>
      <c r="F740" t="s">
        <v>2657</v>
      </c>
      <c r="G740" t="s">
        <v>42</v>
      </c>
      <c r="H740" t="s">
        <v>383</v>
      </c>
      <c r="I740" t="s">
        <v>2648</v>
      </c>
      <c r="J740" t="s">
        <v>710</v>
      </c>
      <c r="K740" t="str">
        <f>"6023535009"</f>
        <v>6023535009</v>
      </c>
      <c r="L740" t="str">
        <f>""</f>
        <v/>
      </c>
      <c r="M740" t="str">
        <f>"6023535074"</f>
        <v>6023535074</v>
      </c>
      <c r="N740" t="str">
        <f>""</f>
        <v/>
      </c>
      <c r="O740" t="s">
        <v>2649</v>
      </c>
      <c r="P740" t="s">
        <v>2658</v>
      </c>
      <c r="R740" t="s">
        <v>964</v>
      </c>
      <c r="S740" t="s">
        <v>36</v>
      </c>
      <c r="T740" t="str">
        <f t="shared" si="104"/>
        <v>85009</v>
      </c>
      <c r="U740" t="str">
        <f>""</f>
        <v/>
      </c>
      <c r="V740" t="s">
        <v>2658</v>
      </c>
      <c r="X740" t="s">
        <v>964</v>
      </c>
      <c r="Y740" t="s">
        <v>36</v>
      </c>
      <c r="Z740" t="str">
        <f t="shared" si="105"/>
        <v>85009</v>
      </c>
      <c r="AA740" t="str">
        <f>""</f>
        <v/>
      </c>
      <c r="AB740" t="s">
        <v>2235</v>
      </c>
    </row>
    <row r="741" spans="1:28" x14ac:dyDescent="0.25">
      <c r="A741">
        <v>4266</v>
      </c>
      <c r="B741" t="str">
        <f t="shared" ref="B741:B747" si="106">"070425000"</f>
        <v>070425000</v>
      </c>
      <c r="C741" t="s">
        <v>2659</v>
      </c>
      <c r="D741">
        <v>0</v>
      </c>
      <c r="E741" t="str">
        <f>""</f>
        <v/>
      </c>
      <c r="G741" t="s">
        <v>29</v>
      </c>
      <c r="H741" t="s">
        <v>2132</v>
      </c>
      <c r="I741" t="s">
        <v>2660</v>
      </c>
      <c r="J741" t="s">
        <v>2661</v>
      </c>
      <c r="K741" t="str">
        <f>"6234746600"</f>
        <v>6234746600</v>
      </c>
      <c r="L741" t="str">
        <f>"1013"</f>
        <v>1013</v>
      </c>
      <c r="M741" t="str">
        <f>"6234746629"</f>
        <v>6234746629</v>
      </c>
      <c r="N741" t="str">
        <f>""</f>
        <v/>
      </c>
      <c r="O741" t="s">
        <v>2662</v>
      </c>
      <c r="P741" t="s">
        <v>2663</v>
      </c>
      <c r="R741" t="s">
        <v>1158</v>
      </c>
      <c r="S741" t="s">
        <v>36</v>
      </c>
      <c r="T741" t="str">
        <f>"85326"</f>
        <v>85326</v>
      </c>
      <c r="U741" t="str">
        <f>""</f>
        <v/>
      </c>
      <c r="V741" t="s">
        <v>2663</v>
      </c>
      <c r="X741" t="s">
        <v>1158</v>
      </c>
      <c r="Y741" t="s">
        <v>36</v>
      </c>
      <c r="Z741" t="str">
        <f>"85326"</f>
        <v>85326</v>
      </c>
      <c r="AA741" t="str">
        <f>""</f>
        <v/>
      </c>
      <c r="AB741" t="s">
        <v>632</v>
      </c>
    </row>
    <row r="742" spans="1:28" x14ac:dyDescent="0.25">
      <c r="A742">
        <v>4266</v>
      </c>
      <c r="B742" t="str">
        <f t="shared" si="106"/>
        <v>070425000</v>
      </c>
      <c r="C742" t="s">
        <v>2659</v>
      </c>
      <c r="D742">
        <v>5294</v>
      </c>
      <c r="E742" t="str">
        <f>"070425101"</f>
        <v>070425101</v>
      </c>
      <c r="F742" t="s">
        <v>1598</v>
      </c>
      <c r="G742" t="s">
        <v>42</v>
      </c>
      <c r="H742" t="s">
        <v>2664</v>
      </c>
      <c r="I742" t="s">
        <v>841</v>
      </c>
      <c r="J742" t="s">
        <v>2665</v>
      </c>
      <c r="K742" t="str">
        <f t="shared" ref="K742:K747" si="107">"6234746641"</f>
        <v>6234746641</v>
      </c>
      <c r="L742" t="str">
        <f>""</f>
        <v/>
      </c>
      <c r="M742" t="str">
        <f t="shared" ref="M742:M747" si="108">"6234746644"</f>
        <v>6234746644</v>
      </c>
      <c r="N742" t="str">
        <f>""</f>
        <v/>
      </c>
      <c r="O742" t="s">
        <v>2666</v>
      </c>
      <c r="P742" t="s">
        <v>2667</v>
      </c>
      <c r="R742" t="s">
        <v>1158</v>
      </c>
      <c r="S742" t="s">
        <v>36</v>
      </c>
      <c r="T742" t="str">
        <f>"85326"</f>
        <v>85326</v>
      </c>
      <c r="U742" t="str">
        <f>""</f>
        <v/>
      </c>
      <c r="V742" t="s">
        <v>2667</v>
      </c>
      <c r="X742" t="s">
        <v>1158</v>
      </c>
      <c r="Y742" t="s">
        <v>36</v>
      </c>
      <c r="Z742" t="str">
        <f>"85326"</f>
        <v>85326</v>
      </c>
      <c r="AA742" t="str">
        <f>""</f>
        <v/>
      </c>
      <c r="AB742" t="s">
        <v>632</v>
      </c>
    </row>
    <row r="743" spans="1:28" x14ac:dyDescent="0.25">
      <c r="A743">
        <v>4266</v>
      </c>
      <c r="B743" t="str">
        <f t="shared" si="106"/>
        <v>070425000</v>
      </c>
      <c r="C743" t="s">
        <v>2659</v>
      </c>
      <c r="D743">
        <v>5295</v>
      </c>
      <c r="E743" t="str">
        <f>"070425102"</f>
        <v>070425102</v>
      </c>
      <c r="F743" t="s">
        <v>2668</v>
      </c>
      <c r="G743" t="s">
        <v>42</v>
      </c>
      <c r="H743" t="s">
        <v>2664</v>
      </c>
      <c r="I743" t="s">
        <v>841</v>
      </c>
      <c r="J743" t="s">
        <v>2665</v>
      </c>
      <c r="K743" t="str">
        <f t="shared" si="107"/>
        <v>6234746641</v>
      </c>
      <c r="L743" t="str">
        <f>""</f>
        <v/>
      </c>
      <c r="M743" t="str">
        <f t="shared" si="108"/>
        <v>6234746644</v>
      </c>
      <c r="N743" t="str">
        <f>""</f>
        <v/>
      </c>
      <c r="O743" t="s">
        <v>2666</v>
      </c>
      <c r="P743" t="s">
        <v>2669</v>
      </c>
      <c r="R743" t="s">
        <v>2670</v>
      </c>
      <c r="S743" t="s">
        <v>36</v>
      </c>
      <c r="T743" t="str">
        <f>"85338"</f>
        <v>85338</v>
      </c>
      <c r="U743" t="str">
        <f>""</f>
        <v/>
      </c>
      <c r="V743" t="s">
        <v>2669</v>
      </c>
      <c r="X743" t="s">
        <v>2670</v>
      </c>
      <c r="Y743" t="s">
        <v>36</v>
      </c>
      <c r="Z743" t="str">
        <f>"85338"</f>
        <v>85338</v>
      </c>
      <c r="AA743" t="str">
        <f>""</f>
        <v/>
      </c>
      <c r="AB743" t="s">
        <v>632</v>
      </c>
    </row>
    <row r="744" spans="1:28" x14ac:dyDescent="0.25">
      <c r="A744">
        <v>4266</v>
      </c>
      <c r="B744" t="str">
        <f t="shared" si="106"/>
        <v>070425000</v>
      </c>
      <c r="C744" t="s">
        <v>2659</v>
      </c>
      <c r="D744">
        <v>79652</v>
      </c>
      <c r="E744" t="str">
        <f>"070425103"</f>
        <v>070425103</v>
      </c>
      <c r="F744" t="s">
        <v>2671</v>
      </c>
      <c r="G744" t="s">
        <v>42</v>
      </c>
      <c r="H744" t="s">
        <v>2664</v>
      </c>
      <c r="I744" t="s">
        <v>841</v>
      </c>
      <c r="J744" t="s">
        <v>2665</v>
      </c>
      <c r="K744" t="str">
        <f t="shared" si="107"/>
        <v>6234746641</v>
      </c>
      <c r="L744" t="str">
        <f>""</f>
        <v/>
      </c>
      <c r="M744" t="str">
        <f t="shared" si="108"/>
        <v>6234746644</v>
      </c>
      <c r="N744" t="str">
        <f>""</f>
        <v/>
      </c>
      <c r="O744" t="s">
        <v>2666</v>
      </c>
      <c r="P744" t="s">
        <v>2672</v>
      </c>
      <c r="R744" t="s">
        <v>1158</v>
      </c>
      <c r="S744" t="s">
        <v>36</v>
      </c>
      <c r="T744" t="str">
        <f>"85326"</f>
        <v>85326</v>
      </c>
      <c r="U744" t="str">
        <f>""</f>
        <v/>
      </c>
      <c r="V744" t="s">
        <v>2672</v>
      </c>
      <c r="X744" t="s">
        <v>1158</v>
      </c>
      <c r="Y744" t="s">
        <v>36</v>
      </c>
      <c r="Z744" t="str">
        <f>"85326"</f>
        <v>85326</v>
      </c>
      <c r="AA744" t="str">
        <f>""</f>
        <v/>
      </c>
      <c r="AB744" t="s">
        <v>632</v>
      </c>
    </row>
    <row r="745" spans="1:28" x14ac:dyDescent="0.25">
      <c r="A745">
        <v>4266</v>
      </c>
      <c r="B745" t="str">
        <f t="shared" si="106"/>
        <v>070425000</v>
      </c>
      <c r="C745" t="s">
        <v>2659</v>
      </c>
      <c r="D745">
        <v>79846</v>
      </c>
      <c r="E745" t="str">
        <f>"070425104"</f>
        <v>070425104</v>
      </c>
      <c r="F745" t="s">
        <v>2673</v>
      </c>
      <c r="G745" t="s">
        <v>42</v>
      </c>
      <c r="H745" t="s">
        <v>2664</v>
      </c>
      <c r="I745" t="s">
        <v>841</v>
      </c>
      <c r="J745" t="s">
        <v>2665</v>
      </c>
      <c r="K745" t="str">
        <f t="shared" si="107"/>
        <v>6234746641</v>
      </c>
      <c r="L745" t="str">
        <f>""</f>
        <v/>
      </c>
      <c r="M745" t="str">
        <f t="shared" si="108"/>
        <v>6234746644</v>
      </c>
      <c r="N745" t="str">
        <f>""</f>
        <v/>
      </c>
      <c r="O745" t="s">
        <v>2666</v>
      </c>
      <c r="P745" t="s">
        <v>2674</v>
      </c>
      <c r="R745" t="s">
        <v>1158</v>
      </c>
      <c r="S745" t="s">
        <v>36</v>
      </c>
      <c r="T745" t="str">
        <f>"85326"</f>
        <v>85326</v>
      </c>
      <c r="U745" t="str">
        <f>""</f>
        <v/>
      </c>
      <c r="V745" t="s">
        <v>2675</v>
      </c>
      <c r="X745" t="s">
        <v>2670</v>
      </c>
      <c r="Y745" t="s">
        <v>36</v>
      </c>
      <c r="Z745" t="str">
        <f>"85338"</f>
        <v>85338</v>
      </c>
      <c r="AA745" t="str">
        <f>""</f>
        <v/>
      </c>
      <c r="AB745" t="s">
        <v>632</v>
      </c>
    </row>
    <row r="746" spans="1:28" x14ac:dyDescent="0.25">
      <c r="A746">
        <v>4266</v>
      </c>
      <c r="B746" t="str">
        <f t="shared" si="106"/>
        <v>070425000</v>
      </c>
      <c r="C746" t="s">
        <v>2659</v>
      </c>
      <c r="D746">
        <v>87475</v>
      </c>
      <c r="E746" t="str">
        <f>"070425105"</f>
        <v>070425105</v>
      </c>
      <c r="F746" t="s">
        <v>2676</v>
      </c>
      <c r="G746" t="s">
        <v>42</v>
      </c>
      <c r="H746" t="s">
        <v>2664</v>
      </c>
      <c r="I746" t="s">
        <v>841</v>
      </c>
      <c r="J746" t="s">
        <v>2665</v>
      </c>
      <c r="K746" t="str">
        <f t="shared" si="107"/>
        <v>6234746641</v>
      </c>
      <c r="L746" t="str">
        <f>""</f>
        <v/>
      </c>
      <c r="M746" t="str">
        <f t="shared" si="108"/>
        <v>6234746644</v>
      </c>
      <c r="N746" t="str">
        <f>""</f>
        <v/>
      </c>
      <c r="O746" t="s">
        <v>2666</v>
      </c>
      <c r="P746" t="s">
        <v>2677</v>
      </c>
      <c r="R746" t="s">
        <v>1158</v>
      </c>
      <c r="S746" t="s">
        <v>36</v>
      </c>
      <c r="T746" t="str">
        <f>"85326"</f>
        <v>85326</v>
      </c>
      <c r="U746" t="str">
        <f>""</f>
        <v/>
      </c>
      <c r="V746" t="s">
        <v>2677</v>
      </c>
      <c r="X746" t="s">
        <v>1158</v>
      </c>
      <c r="Y746" t="s">
        <v>36</v>
      </c>
      <c r="Z746" t="str">
        <f>"85326"</f>
        <v>85326</v>
      </c>
      <c r="AA746" t="str">
        <f>""</f>
        <v/>
      </c>
      <c r="AB746" t="s">
        <v>632</v>
      </c>
    </row>
    <row r="747" spans="1:28" x14ac:dyDescent="0.25">
      <c r="A747">
        <v>4266</v>
      </c>
      <c r="B747" t="str">
        <f t="shared" si="106"/>
        <v>070425000</v>
      </c>
      <c r="C747" t="s">
        <v>2659</v>
      </c>
      <c r="D747">
        <v>92706</v>
      </c>
      <c r="E747" t="str">
        <f>"070425106"</f>
        <v>070425106</v>
      </c>
      <c r="F747" t="s">
        <v>2678</v>
      </c>
      <c r="G747" t="s">
        <v>42</v>
      </c>
      <c r="H747" t="s">
        <v>2664</v>
      </c>
      <c r="I747" t="s">
        <v>841</v>
      </c>
      <c r="J747" t="s">
        <v>2665</v>
      </c>
      <c r="K747" t="str">
        <f t="shared" si="107"/>
        <v>6234746641</v>
      </c>
      <c r="L747" t="str">
        <f>""</f>
        <v/>
      </c>
      <c r="M747" t="str">
        <f t="shared" si="108"/>
        <v>6234746644</v>
      </c>
      <c r="N747" t="str">
        <f>""</f>
        <v/>
      </c>
      <c r="O747" t="s">
        <v>2666</v>
      </c>
      <c r="P747" t="s">
        <v>2679</v>
      </c>
      <c r="R747" t="s">
        <v>2670</v>
      </c>
      <c r="S747" t="s">
        <v>36</v>
      </c>
      <c r="T747" t="str">
        <f>"85338"</f>
        <v>85338</v>
      </c>
      <c r="U747" t="str">
        <f>""</f>
        <v/>
      </c>
      <c r="V747" t="s">
        <v>2679</v>
      </c>
      <c r="X747" t="s">
        <v>2670</v>
      </c>
      <c r="Y747" t="s">
        <v>36</v>
      </c>
      <c r="Z747" t="str">
        <f>"85338"</f>
        <v>85338</v>
      </c>
      <c r="AA747" t="str">
        <f>""</f>
        <v/>
      </c>
      <c r="AB747" t="s">
        <v>632</v>
      </c>
    </row>
    <row r="748" spans="1:28" x14ac:dyDescent="0.25">
      <c r="A748">
        <v>4267</v>
      </c>
      <c r="B748" t="str">
        <f t="shared" ref="B748:B773" si="109">"070428000"</f>
        <v>070428000</v>
      </c>
      <c r="C748" t="s">
        <v>2680</v>
      </c>
      <c r="D748">
        <v>0</v>
      </c>
      <c r="E748" t="str">
        <f>""</f>
        <v/>
      </c>
      <c r="G748" t="s">
        <v>29</v>
      </c>
      <c r="H748" t="s">
        <v>2681</v>
      </c>
      <c r="I748" t="s">
        <v>2682</v>
      </c>
      <c r="J748" t="s">
        <v>2683</v>
      </c>
      <c r="K748" t="str">
        <f t="shared" ref="K748:K764" si="110">"4805411371"</f>
        <v>4805411371</v>
      </c>
      <c r="L748" t="str">
        <f>""</f>
        <v/>
      </c>
      <c r="M748" t="str">
        <f t="shared" ref="M748:M773" si="111">"4805411814"</f>
        <v>4805411814</v>
      </c>
      <c r="N748" t="str">
        <f>""</f>
        <v/>
      </c>
      <c r="O748" t="s">
        <v>2684</v>
      </c>
      <c r="P748" t="s">
        <v>2685</v>
      </c>
      <c r="R748" t="s">
        <v>967</v>
      </c>
      <c r="S748" t="s">
        <v>36</v>
      </c>
      <c r="T748" t="str">
        <f>"85828"</f>
        <v>85828</v>
      </c>
      <c r="U748" t="str">
        <f>"2197"</f>
        <v>2197</v>
      </c>
      <c r="V748" t="s">
        <v>2686</v>
      </c>
      <c r="X748" t="s">
        <v>967</v>
      </c>
      <c r="Y748" t="s">
        <v>36</v>
      </c>
      <c r="Z748" t="str">
        <f>"85284"</f>
        <v>85284</v>
      </c>
      <c r="AA748" t="str">
        <f>"2197"</f>
        <v>2197</v>
      </c>
      <c r="AB748" t="s">
        <v>86</v>
      </c>
    </row>
    <row r="749" spans="1:28" x14ac:dyDescent="0.25">
      <c r="A749">
        <v>4267</v>
      </c>
      <c r="B749" t="str">
        <f t="shared" si="109"/>
        <v>070428000</v>
      </c>
      <c r="C749" t="s">
        <v>2680</v>
      </c>
      <c r="D749">
        <v>5296</v>
      </c>
      <c r="E749" t="str">
        <f>"070428136"</f>
        <v>070428136</v>
      </c>
      <c r="F749" t="s">
        <v>2687</v>
      </c>
      <c r="G749" t="s">
        <v>42</v>
      </c>
      <c r="H749" t="s">
        <v>2681</v>
      </c>
      <c r="I749" t="s">
        <v>2682</v>
      </c>
      <c r="J749" t="s">
        <v>2683</v>
      </c>
      <c r="K749" t="str">
        <f t="shared" si="110"/>
        <v>4805411371</v>
      </c>
      <c r="L749" t="str">
        <f>""</f>
        <v/>
      </c>
      <c r="M749" t="str">
        <f t="shared" si="111"/>
        <v>4805411814</v>
      </c>
      <c r="N749" t="str">
        <f>""</f>
        <v/>
      </c>
      <c r="O749" t="s">
        <v>2688</v>
      </c>
      <c r="P749" t="s">
        <v>2689</v>
      </c>
      <c r="R749" t="s">
        <v>967</v>
      </c>
      <c r="S749" t="s">
        <v>36</v>
      </c>
      <c r="T749" t="str">
        <f t="shared" ref="T749:T773" si="112">"85284"</f>
        <v>85284</v>
      </c>
      <c r="U749" t="str">
        <f>""</f>
        <v/>
      </c>
      <c r="V749" t="s">
        <v>2690</v>
      </c>
      <c r="X749" t="s">
        <v>1041</v>
      </c>
      <c r="Y749" t="s">
        <v>36</v>
      </c>
      <c r="Z749" t="str">
        <f>"85226"</f>
        <v>85226</v>
      </c>
      <c r="AA749" t="str">
        <f>""</f>
        <v/>
      </c>
      <c r="AB749" t="s">
        <v>86</v>
      </c>
    </row>
    <row r="750" spans="1:28" x14ac:dyDescent="0.25">
      <c r="A750">
        <v>4267</v>
      </c>
      <c r="B750" t="str">
        <f t="shared" si="109"/>
        <v>070428000</v>
      </c>
      <c r="C750" t="s">
        <v>2680</v>
      </c>
      <c r="D750">
        <v>5297</v>
      </c>
      <c r="E750" t="str">
        <f>"070428137"</f>
        <v>070428137</v>
      </c>
      <c r="F750" t="s">
        <v>2691</v>
      </c>
      <c r="G750" t="s">
        <v>42</v>
      </c>
      <c r="H750" t="s">
        <v>2681</v>
      </c>
      <c r="I750" t="s">
        <v>2682</v>
      </c>
      <c r="J750" t="s">
        <v>2683</v>
      </c>
      <c r="K750" t="str">
        <f t="shared" si="110"/>
        <v>4805411371</v>
      </c>
      <c r="L750" t="str">
        <f>""</f>
        <v/>
      </c>
      <c r="M750" t="str">
        <f t="shared" si="111"/>
        <v>4805411814</v>
      </c>
      <c r="N750" t="str">
        <f>""</f>
        <v/>
      </c>
      <c r="O750" t="s">
        <v>2688</v>
      </c>
      <c r="P750" t="s">
        <v>2689</v>
      </c>
      <c r="R750" t="s">
        <v>967</v>
      </c>
      <c r="S750" t="s">
        <v>36</v>
      </c>
      <c r="T750" t="str">
        <f t="shared" si="112"/>
        <v>85284</v>
      </c>
      <c r="U750" t="str">
        <f>""</f>
        <v/>
      </c>
      <c r="V750" t="s">
        <v>2692</v>
      </c>
      <c r="X750" t="s">
        <v>964</v>
      </c>
      <c r="Y750" t="s">
        <v>36</v>
      </c>
      <c r="Z750" t="str">
        <f>"85048"</f>
        <v>85048</v>
      </c>
      <c r="AA750" t="str">
        <f>""</f>
        <v/>
      </c>
      <c r="AB750" t="s">
        <v>86</v>
      </c>
    </row>
    <row r="751" spans="1:28" x14ac:dyDescent="0.25">
      <c r="A751">
        <v>4267</v>
      </c>
      <c r="B751" t="str">
        <f t="shared" si="109"/>
        <v>070428000</v>
      </c>
      <c r="C751" t="s">
        <v>2680</v>
      </c>
      <c r="D751">
        <v>5298</v>
      </c>
      <c r="E751" t="str">
        <f>"070428138"</f>
        <v>070428138</v>
      </c>
      <c r="F751" t="s">
        <v>2693</v>
      </c>
      <c r="G751" t="s">
        <v>42</v>
      </c>
      <c r="H751" t="s">
        <v>2681</v>
      </c>
      <c r="I751" t="s">
        <v>2682</v>
      </c>
      <c r="J751" t="s">
        <v>2683</v>
      </c>
      <c r="K751" t="str">
        <f t="shared" si="110"/>
        <v>4805411371</v>
      </c>
      <c r="L751" t="str">
        <f>""</f>
        <v/>
      </c>
      <c r="M751" t="str">
        <f t="shared" si="111"/>
        <v>4805411814</v>
      </c>
      <c r="N751" t="str">
        <f>""</f>
        <v/>
      </c>
      <c r="O751" t="s">
        <v>2688</v>
      </c>
      <c r="P751" t="s">
        <v>2689</v>
      </c>
      <c r="R751" t="s">
        <v>967</v>
      </c>
      <c r="S751" t="s">
        <v>36</v>
      </c>
      <c r="T751" t="str">
        <f t="shared" si="112"/>
        <v>85284</v>
      </c>
      <c r="U751" t="str">
        <f>""</f>
        <v/>
      </c>
      <c r="V751" t="s">
        <v>2694</v>
      </c>
      <c r="X751" t="s">
        <v>964</v>
      </c>
      <c r="Y751" t="s">
        <v>36</v>
      </c>
      <c r="Z751" t="str">
        <f>"85048"</f>
        <v>85048</v>
      </c>
      <c r="AA751" t="str">
        <f>""</f>
        <v/>
      </c>
      <c r="AB751" t="s">
        <v>86</v>
      </c>
    </row>
    <row r="752" spans="1:28" x14ac:dyDescent="0.25">
      <c r="A752">
        <v>4267</v>
      </c>
      <c r="B752" t="str">
        <f t="shared" si="109"/>
        <v>070428000</v>
      </c>
      <c r="C752" t="s">
        <v>2680</v>
      </c>
      <c r="D752">
        <v>5299</v>
      </c>
      <c r="E752" t="str">
        <f>"070428139"</f>
        <v>070428139</v>
      </c>
      <c r="F752" t="s">
        <v>2695</v>
      </c>
      <c r="G752" t="s">
        <v>42</v>
      </c>
      <c r="H752" t="s">
        <v>2681</v>
      </c>
      <c r="I752" t="s">
        <v>2682</v>
      </c>
      <c r="J752" t="s">
        <v>2683</v>
      </c>
      <c r="K752" t="str">
        <f t="shared" si="110"/>
        <v>4805411371</v>
      </c>
      <c r="L752" t="str">
        <f>""</f>
        <v/>
      </c>
      <c r="M752" t="str">
        <f t="shared" si="111"/>
        <v>4805411814</v>
      </c>
      <c r="N752" t="str">
        <f>""</f>
        <v/>
      </c>
      <c r="O752" t="s">
        <v>2688</v>
      </c>
      <c r="P752" t="s">
        <v>2689</v>
      </c>
      <c r="R752" t="s">
        <v>967</v>
      </c>
      <c r="S752" t="s">
        <v>36</v>
      </c>
      <c r="T752" t="str">
        <f t="shared" si="112"/>
        <v>85284</v>
      </c>
      <c r="U752" t="str">
        <f>""</f>
        <v/>
      </c>
      <c r="V752" t="s">
        <v>2696</v>
      </c>
      <c r="X752" t="s">
        <v>964</v>
      </c>
      <c r="Y752" t="s">
        <v>36</v>
      </c>
      <c r="Z752" t="str">
        <f>"85044"</f>
        <v>85044</v>
      </c>
      <c r="AA752" t="str">
        <f>""</f>
        <v/>
      </c>
      <c r="AB752" t="s">
        <v>86</v>
      </c>
    </row>
    <row r="753" spans="1:28" x14ac:dyDescent="0.25">
      <c r="A753">
        <v>4267</v>
      </c>
      <c r="B753" t="str">
        <f t="shared" si="109"/>
        <v>070428000</v>
      </c>
      <c r="C753" t="s">
        <v>2680</v>
      </c>
      <c r="D753">
        <v>5300</v>
      </c>
      <c r="E753" t="str">
        <f>"070428140"</f>
        <v>070428140</v>
      </c>
      <c r="F753" t="s">
        <v>2697</v>
      </c>
      <c r="G753" t="s">
        <v>42</v>
      </c>
      <c r="H753" t="s">
        <v>2681</v>
      </c>
      <c r="I753" t="s">
        <v>2682</v>
      </c>
      <c r="J753" t="s">
        <v>2683</v>
      </c>
      <c r="K753" t="str">
        <f t="shared" si="110"/>
        <v>4805411371</v>
      </c>
      <c r="L753" t="str">
        <f>""</f>
        <v/>
      </c>
      <c r="M753" t="str">
        <f t="shared" si="111"/>
        <v>4805411814</v>
      </c>
      <c r="N753" t="str">
        <f>""</f>
        <v/>
      </c>
      <c r="O753" t="s">
        <v>2688</v>
      </c>
      <c r="P753" t="s">
        <v>2689</v>
      </c>
      <c r="R753" t="s">
        <v>967</v>
      </c>
      <c r="S753" t="s">
        <v>36</v>
      </c>
      <c r="T753" t="str">
        <f t="shared" si="112"/>
        <v>85284</v>
      </c>
      <c r="U753" t="str">
        <f>""</f>
        <v/>
      </c>
      <c r="V753" t="s">
        <v>2698</v>
      </c>
      <c r="X753" t="s">
        <v>1041</v>
      </c>
      <c r="Y753" t="s">
        <v>36</v>
      </c>
      <c r="Z753" t="str">
        <f>"85226"</f>
        <v>85226</v>
      </c>
      <c r="AA753" t="str">
        <f>""</f>
        <v/>
      </c>
      <c r="AB753" t="s">
        <v>86</v>
      </c>
    </row>
    <row r="754" spans="1:28" x14ac:dyDescent="0.25">
      <c r="A754">
        <v>4267</v>
      </c>
      <c r="B754" t="str">
        <f t="shared" si="109"/>
        <v>070428000</v>
      </c>
      <c r="C754" t="s">
        <v>2680</v>
      </c>
      <c r="D754">
        <v>5301</v>
      </c>
      <c r="E754" t="str">
        <f>"070428141"</f>
        <v>070428141</v>
      </c>
      <c r="F754" t="s">
        <v>2699</v>
      </c>
      <c r="G754" t="s">
        <v>42</v>
      </c>
      <c r="H754" t="s">
        <v>2681</v>
      </c>
      <c r="I754" t="s">
        <v>2682</v>
      </c>
      <c r="J754" t="s">
        <v>2683</v>
      </c>
      <c r="K754" t="str">
        <f t="shared" si="110"/>
        <v>4805411371</v>
      </c>
      <c r="L754" t="str">
        <f>""</f>
        <v/>
      </c>
      <c r="M754" t="str">
        <f t="shared" si="111"/>
        <v>4805411814</v>
      </c>
      <c r="N754" t="str">
        <f>""</f>
        <v/>
      </c>
      <c r="O754" t="s">
        <v>2688</v>
      </c>
      <c r="P754" t="s">
        <v>2689</v>
      </c>
      <c r="R754" t="s">
        <v>967</v>
      </c>
      <c r="S754" t="s">
        <v>36</v>
      </c>
      <c r="T754" t="str">
        <f t="shared" si="112"/>
        <v>85284</v>
      </c>
      <c r="U754" t="str">
        <f>""</f>
        <v/>
      </c>
      <c r="V754" t="s">
        <v>2700</v>
      </c>
      <c r="X754" t="s">
        <v>967</v>
      </c>
      <c r="Y754" t="s">
        <v>36</v>
      </c>
      <c r="Z754" t="str">
        <f>"85284"</f>
        <v>85284</v>
      </c>
      <c r="AA754" t="str">
        <f>""</f>
        <v/>
      </c>
      <c r="AB754" t="s">
        <v>86</v>
      </c>
    </row>
    <row r="755" spans="1:28" x14ac:dyDescent="0.25">
      <c r="A755">
        <v>4267</v>
      </c>
      <c r="B755" t="str">
        <f t="shared" si="109"/>
        <v>070428000</v>
      </c>
      <c r="C755" t="s">
        <v>2680</v>
      </c>
      <c r="D755">
        <v>5302</v>
      </c>
      <c r="E755" t="str">
        <f>"070428142"</f>
        <v>070428142</v>
      </c>
      <c r="F755" t="s">
        <v>2701</v>
      </c>
      <c r="G755" t="s">
        <v>42</v>
      </c>
      <c r="H755" t="s">
        <v>2681</v>
      </c>
      <c r="I755" t="s">
        <v>2682</v>
      </c>
      <c r="J755" t="s">
        <v>2683</v>
      </c>
      <c r="K755" t="str">
        <f t="shared" si="110"/>
        <v>4805411371</v>
      </c>
      <c r="L755" t="str">
        <f>""</f>
        <v/>
      </c>
      <c r="M755" t="str">
        <f t="shared" si="111"/>
        <v>4805411814</v>
      </c>
      <c r="N755" t="str">
        <f>""</f>
        <v/>
      </c>
      <c r="O755" t="s">
        <v>2688</v>
      </c>
      <c r="P755" t="s">
        <v>2689</v>
      </c>
      <c r="R755" t="s">
        <v>967</v>
      </c>
      <c r="S755" t="s">
        <v>36</v>
      </c>
      <c r="T755" t="str">
        <f t="shared" si="112"/>
        <v>85284</v>
      </c>
      <c r="U755" t="str">
        <f>""</f>
        <v/>
      </c>
      <c r="V755" t="s">
        <v>2702</v>
      </c>
      <c r="X755" t="s">
        <v>967</v>
      </c>
      <c r="Y755" t="s">
        <v>36</v>
      </c>
      <c r="Z755" t="str">
        <f>"85284"</f>
        <v>85284</v>
      </c>
      <c r="AA755" t="str">
        <f>""</f>
        <v/>
      </c>
      <c r="AB755" t="s">
        <v>86</v>
      </c>
    </row>
    <row r="756" spans="1:28" x14ac:dyDescent="0.25">
      <c r="A756">
        <v>4267</v>
      </c>
      <c r="B756" t="str">
        <f t="shared" si="109"/>
        <v>070428000</v>
      </c>
      <c r="C756" t="s">
        <v>2680</v>
      </c>
      <c r="D756">
        <v>5303</v>
      </c>
      <c r="E756" t="str">
        <f>"070428143"</f>
        <v>070428143</v>
      </c>
      <c r="F756" t="s">
        <v>2703</v>
      </c>
      <c r="G756" t="s">
        <v>42</v>
      </c>
      <c r="H756" t="s">
        <v>2681</v>
      </c>
      <c r="I756" t="s">
        <v>2682</v>
      </c>
      <c r="J756" t="s">
        <v>2683</v>
      </c>
      <c r="K756" t="str">
        <f t="shared" si="110"/>
        <v>4805411371</v>
      </c>
      <c r="L756" t="str">
        <f>""</f>
        <v/>
      </c>
      <c r="M756" t="str">
        <f t="shared" si="111"/>
        <v>4805411814</v>
      </c>
      <c r="N756" t="str">
        <f>""</f>
        <v/>
      </c>
      <c r="O756" t="s">
        <v>2688</v>
      </c>
      <c r="P756" t="s">
        <v>2689</v>
      </c>
      <c r="R756" t="s">
        <v>967</v>
      </c>
      <c r="S756" t="s">
        <v>36</v>
      </c>
      <c r="T756" t="str">
        <f t="shared" si="112"/>
        <v>85284</v>
      </c>
      <c r="U756" t="str">
        <f>""</f>
        <v/>
      </c>
      <c r="V756" t="s">
        <v>2704</v>
      </c>
      <c r="X756" t="s">
        <v>967</v>
      </c>
      <c r="Y756" t="s">
        <v>36</v>
      </c>
      <c r="Z756" t="str">
        <f>"85283"</f>
        <v>85283</v>
      </c>
      <c r="AA756" t="str">
        <f>""</f>
        <v/>
      </c>
      <c r="AB756" t="s">
        <v>86</v>
      </c>
    </row>
    <row r="757" spans="1:28" x14ac:dyDescent="0.25">
      <c r="A757">
        <v>4267</v>
      </c>
      <c r="B757" t="str">
        <f t="shared" si="109"/>
        <v>070428000</v>
      </c>
      <c r="C757" t="s">
        <v>2680</v>
      </c>
      <c r="D757">
        <v>5304</v>
      </c>
      <c r="E757" t="str">
        <f>"070428144"</f>
        <v>070428144</v>
      </c>
      <c r="F757" t="s">
        <v>2705</v>
      </c>
      <c r="G757" t="s">
        <v>42</v>
      </c>
      <c r="H757" t="s">
        <v>2681</v>
      </c>
      <c r="I757" t="s">
        <v>2682</v>
      </c>
      <c r="J757" t="s">
        <v>2683</v>
      </c>
      <c r="K757" t="str">
        <f t="shared" si="110"/>
        <v>4805411371</v>
      </c>
      <c r="L757" t="str">
        <f>""</f>
        <v/>
      </c>
      <c r="M757" t="str">
        <f t="shared" si="111"/>
        <v>4805411814</v>
      </c>
      <c r="N757" t="str">
        <f>""</f>
        <v/>
      </c>
      <c r="O757" t="s">
        <v>2706</v>
      </c>
      <c r="P757" t="s">
        <v>2689</v>
      </c>
      <c r="R757" t="s">
        <v>967</v>
      </c>
      <c r="S757" t="s">
        <v>36</v>
      </c>
      <c r="T757" t="str">
        <f t="shared" si="112"/>
        <v>85284</v>
      </c>
      <c r="U757" t="str">
        <f>""</f>
        <v/>
      </c>
      <c r="V757" t="s">
        <v>2707</v>
      </c>
      <c r="X757" t="s">
        <v>964</v>
      </c>
      <c r="Y757" t="s">
        <v>36</v>
      </c>
      <c r="Z757" t="str">
        <f>"85044"</f>
        <v>85044</v>
      </c>
      <c r="AA757" t="str">
        <f>""</f>
        <v/>
      </c>
      <c r="AB757" t="s">
        <v>86</v>
      </c>
    </row>
    <row r="758" spans="1:28" x14ac:dyDescent="0.25">
      <c r="A758">
        <v>4267</v>
      </c>
      <c r="B758" t="str">
        <f t="shared" si="109"/>
        <v>070428000</v>
      </c>
      <c r="C758" t="s">
        <v>2680</v>
      </c>
      <c r="D758">
        <v>5305</v>
      </c>
      <c r="E758" t="str">
        <f>"070428145"</f>
        <v>070428145</v>
      </c>
      <c r="F758" t="s">
        <v>2708</v>
      </c>
      <c r="G758" t="s">
        <v>42</v>
      </c>
      <c r="H758" t="s">
        <v>2681</v>
      </c>
      <c r="I758" t="s">
        <v>2682</v>
      </c>
      <c r="J758" t="s">
        <v>2683</v>
      </c>
      <c r="K758" t="str">
        <f t="shared" si="110"/>
        <v>4805411371</v>
      </c>
      <c r="L758" t="str">
        <f>""</f>
        <v/>
      </c>
      <c r="M758" t="str">
        <f t="shared" si="111"/>
        <v>4805411814</v>
      </c>
      <c r="N758" t="str">
        <f>""</f>
        <v/>
      </c>
      <c r="O758" t="s">
        <v>2688</v>
      </c>
      <c r="P758" t="s">
        <v>2689</v>
      </c>
      <c r="R758" t="s">
        <v>967</v>
      </c>
      <c r="S758" t="s">
        <v>36</v>
      </c>
      <c r="T758" t="str">
        <f t="shared" si="112"/>
        <v>85284</v>
      </c>
      <c r="U758" t="str">
        <f>""</f>
        <v/>
      </c>
      <c r="V758" t="s">
        <v>2709</v>
      </c>
      <c r="X758" t="s">
        <v>967</v>
      </c>
      <c r="Y758" t="s">
        <v>36</v>
      </c>
      <c r="Z758" t="str">
        <f>"85283"</f>
        <v>85283</v>
      </c>
      <c r="AA758" t="str">
        <f>""</f>
        <v/>
      </c>
      <c r="AB758" t="s">
        <v>86</v>
      </c>
    </row>
    <row r="759" spans="1:28" x14ac:dyDescent="0.25">
      <c r="A759">
        <v>4267</v>
      </c>
      <c r="B759" t="str">
        <f t="shared" si="109"/>
        <v>070428000</v>
      </c>
      <c r="C759" t="s">
        <v>2680</v>
      </c>
      <c r="D759">
        <v>5306</v>
      </c>
      <c r="E759" t="str">
        <f>"070428146"</f>
        <v>070428146</v>
      </c>
      <c r="F759" t="s">
        <v>2710</v>
      </c>
      <c r="G759" t="s">
        <v>42</v>
      </c>
      <c r="H759" t="s">
        <v>2681</v>
      </c>
      <c r="I759" t="s">
        <v>2682</v>
      </c>
      <c r="J759" t="s">
        <v>2683</v>
      </c>
      <c r="K759" t="str">
        <f t="shared" si="110"/>
        <v>4805411371</v>
      </c>
      <c r="L759" t="str">
        <f>""</f>
        <v/>
      </c>
      <c r="M759" t="str">
        <f t="shared" si="111"/>
        <v>4805411814</v>
      </c>
      <c r="N759" t="str">
        <f>""</f>
        <v/>
      </c>
      <c r="O759" t="s">
        <v>2688</v>
      </c>
      <c r="P759" t="s">
        <v>2689</v>
      </c>
      <c r="R759" t="s">
        <v>967</v>
      </c>
      <c r="S759" t="s">
        <v>36</v>
      </c>
      <c r="T759" t="str">
        <f t="shared" si="112"/>
        <v>85284</v>
      </c>
      <c r="U759" t="str">
        <f>""</f>
        <v/>
      </c>
      <c r="V759" t="s">
        <v>2711</v>
      </c>
      <c r="X759" t="s">
        <v>1041</v>
      </c>
      <c r="Y759" t="s">
        <v>36</v>
      </c>
      <c r="Z759" t="str">
        <f>"85226"</f>
        <v>85226</v>
      </c>
      <c r="AA759" t="str">
        <f>""</f>
        <v/>
      </c>
      <c r="AB759" t="s">
        <v>86</v>
      </c>
    </row>
    <row r="760" spans="1:28" x14ac:dyDescent="0.25">
      <c r="A760">
        <v>4267</v>
      </c>
      <c r="B760" t="str">
        <f t="shared" si="109"/>
        <v>070428000</v>
      </c>
      <c r="C760" t="s">
        <v>2680</v>
      </c>
      <c r="D760">
        <v>5307</v>
      </c>
      <c r="E760" t="str">
        <f>"070428147"</f>
        <v>070428147</v>
      </c>
      <c r="F760" t="s">
        <v>2712</v>
      </c>
      <c r="G760" t="s">
        <v>42</v>
      </c>
      <c r="H760" t="s">
        <v>2681</v>
      </c>
      <c r="I760" t="s">
        <v>2682</v>
      </c>
      <c r="J760" t="s">
        <v>2683</v>
      </c>
      <c r="K760" t="str">
        <f t="shared" si="110"/>
        <v>4805411371</v>
      </c>
      <c r="L760" t="str">
        <f>""</f>
        <v/>
      </c>
      <c r="M760" t="str">
        <f t="shared" si="111"/>
        <v>4805411814</v>
      </c>
      <c r="N760" t="str">
        <f>""</f>
        <v/>
      </c>
      <c r="O760" t="s">
        <v>2706</v>
      </c>
      <c r="P760" t="s">
        <v>2689</v>
      </c>
      <c r="R760" t="s">
        <v>967</v>
      </c>
      <c r="S760" t="s">
        <v>36</v>
      </c>
      <c r="T760" t="str">
        <f t="shared" si="112"/>
        <v>85284</v>
      </c>
      <c r="U760" t="str">
        <f>""</f>
        <v/>
      </c>
      <c r="V760" t="s">
        <v>2713</v>
      </c>
      <c r="X760" t="s">
        <v>1041</v>
      </c>
      <c r="Y760" t="s">
        <v>36</v>
      </c>
      <c r="Z760" t="str">
        <f>"85226"</f>
        <v>85226</v>
      </c>
      <c r="AA760" t="str">
        <f>""</f>
        <v/>
      </c>
      <c r="AB760" t="s">
        <v>86</v>
      </c>
    </row>
    <row r="761" spans="1:28" x14ac:dyDescent="0.25">
      <c r="A761">
        <v>4267</v>
      </c>
      <c r="B761" t="str">
        <f t="shared" si="109"/>
        <v>070428000</v>
      </c>
      <c r="C761" t="s">
        <v>2680</v>
      </c>
      <c r="D761">
        <v>5308</v>
      </c>
      <c r="E761" t="str">
        <f>"070428148"</f>
        <v>070428148</v>
      </c>
      <c r="F761" t="s">
        <v>2714</v>
      </c>
      <c r="G761" t="s">
        <v>42</v>
      </c>
      <c r="H761" t="s">
        <v>2715</v>
      </c>
      <c r="I761" t="s">
        <v>2682</v>
      </c>
      <c r="J761" t="s">
        <v>2683</v>
      </c>
      <c r="K761" t="str">
        <f t="shared" si="110"/>
        <v>4805411371</v>
      </c>
      <c r="L761" t="str">
        <f>""</f>
        <v/>
      </c>
      <c r="M761" t="str">
        <f t="shared" si="111"/>
        <v>4805411814</v>
      </c>
      <c r="N761" t="str">
        <f>""</f>
        <v/>
      </c>
      <c r="O761" t="s">
        <v>2688</v>
      </c>
      <c r="P761" t="s">
        <v>2689</v>
      </c>
      <c r="R761" t="s">
        <v>967</v>
      </c>
      <c r="S761" t="s">
        <v>36</v>
      </c>
      <c r="T761" t="str">
        <f t="shared" si="112"/>
        <v>85284</v>
      </c>
      <c r="U761" t="str">
        <f>""</f>
        <v/>
      </c>
      <c r="V761" t="s">
        <v>2716</v>
      </c>
      <c r="X761" t="s">
        <v>964</v>
      </c>
      <c r="Y761" t="s">
        <v>36</v>
      </c>
      <c r="Z761" t="str">
        <f>"85044"</f>
        <v>85044</v>
      </c>
      <c r="AA761" t="str">
        <f>""</f>
        <v/>
      </c>
      <c r="AB761" t="s">
        <v>86</v>
      </c>
    </row>
    <row r="762" spans="1:28" x14ac:dyDescent="0.25">
      <c r="A762">
        <v>4267</v>
      </c>
      <c r="B762" t="str">
        <f t="shared" si="109"/>
        <v>070428000</v>
      </c>
      <c r="C762" t="s">
        <v>2680</v>
      </c>
      <c r="D762">
        <v>5309</v>
      </c>
      <c r="E762" t="str">
        <f>"070428149"</f>
        <v>070428149</v>
      </c>
      <c r="F762" t="s">
        <v>2717</v>
      </c>
      <c r="G762" t="s">
        <v>42</v>
      </c>
      <c r="H762" t="s">
        <v>2681</v>
      </c>
      <c r="I762" t="s">
        <v>2682</v>
      </c>
      <c r="J762" t="s">
        <v>2683</v>
      </c>
      <c r="K762" t="str">
        <f t="shared" si="110"/>
        <v>4805411371</v>
      </c>
      <c r="L762" t="str">
        <f>""</f>
        <v/>
      </c>
      <c r="M762" t="str">
        <f t="shared" si="111"/>
        <v>4805411814</v>
      </c>
      <c r="N762" t="str">
        <f>""</f>
        <v/>
      </c>
      <c r="O762" t="s">
        <v>2688</v>
      </c>
      <c r="P762" t="s">
        <v>2689</v>
      </c>
      <c r="R762" t="s">
        <v>967</v>
      </c>
      <c r="S762" t="s">
        <v>36</v>
      </c>
      <c r="T762" t="str">
        <f t="shared" si="112"/>
        <v>85284</v>
      </c>
      <c r="U762" t="str">
        <f>""</f>
        <v/>
      </c>
      <c r="V762" t="s">
        <v>2718</v>
      </c>
      <c r="X762" t="s">
        <v>1041</v>
      </c>
      <c r="Y762" t="s">
        <v>36</v>
      </c>
      <c r="Z762" t="str">
        <f>"85226"</f>
        <v>85226</v>
      </c>
      <c r="AA762" t="str">
        <f>""</f>
        <v/>
      </c>
      <c r="AB762" t="s">
        <v>86</v>
      </c>
    </row>
    <row r="763" spans="1:28" x14ac:dyDescent="0.25">
      <c r="A763">
        <v>4267</v>
      </c>
      <c r="B763" t="str">
        <f t="shared" si="109"/>
        <v>070428000</v>
      </c>
      <c r="C763" t="s">
        <v>2680</v>
      </c>
      <c r="D763">
        <v>5310</v>
      </c>
      <c r="E763" t="str">
        <f>"070428150"</f>
        <v>070428150</v>
      </c>
      <c r="F763" t="s">
        <v>2719</v>
      </c>
      <c r="G763" t="s">
        <v>42</v>
      </c>
      <c r="H763" t="s">
        <v>2681</v>
      </c>
      <c r="I763" t="s">
        <v>2682</v>
      </c>
      <c r="J763" t="s">
        <v>2683</v>
      </c>
      <c r="K763" t="str">
        <f t="shared" si="110"/>
        <v>4805411371</v>
      </c>
      <c r="L763" t="str">
        <f>""</f>
        <v/>
      </c>
      <c r="M763" t="str">
        <f t="shared" si="111"/>
        <v>4805411814</v>
      </c>
      <c r="N763" t="str">
        <f>""</f>
        <v/>
      </c>
      <c r="O763" t="s">
        <v>2720</v>
      </c>
      <c r="P763" t="s">
        <v>2689</v>
      </c>
      <c r="R763" t="s">
        <v>967</v>
      </c>
      <c r="S763" t="s">
        <v>36</v>
      </c>
      <c r="T763" t="str">
        <f t="shared" si="112"/>
        <v>85284</v>
      </c>
      <c r="U763" t="str">
        <f>""</f>
        <v/>
      </c>
      <c r="V763" t="s">
        <v>2721</v>
      </c>
      <c r="X763" t="s">
        <v>967</v>
      </c>
      <c r="Y763" t="s">
        <v>36</v>
      </c>
      <c r="Z763" t="str">
        <f>"85284"</f>
        <v>85284</v>
      </c>
      <c r="AA763" t="str">
        <f>""</f>
        <v/>
      </c>
      <c r="AB763" t="s">
        <v>86</v>
      </c>
    </row>
    <row r="764" spans="1:28" x14ac:dyDescent="0.25">
      <c r="A764">
        <v>4267</v>
      </c>
      <c r="B764" t="str">
        <f t="shared" si="109"/>
        <v>070428000</v>
      </c>
      <c r="C764" t="s">
        <v>2680</v>
      </c>
      <c r="D764">
        <v>5311</v>
      </c>
      <c r="E764" t="str">
        <f>"070428151"</f>
        <v>070428151</v>
      </c>
      <c r="F764" t="s">
        <v>2722</v>
      </c>
      <c r="G764" t="s">
        <v>42</v>
      </c>
      <c r="H764" t="s">
        <v>2681</v>
      </c>
      <c r="I764" t="s">
        <v>2682</v>
      </c>
      <c r="J764" t="s">
        <v>2683</v>
      </c>
      <c r="K764" t="str">
        <f t="shared" si="110"/>
        <v>4805411371</v>
      </c>
      <c r="L764" t="str">
        <f>""</f>
        <v/>
      </c>
      <c r="M764" t="str">
        <f t="shared" si="111"/>
        <v>4805411814</v>
      </c>
      <c r="N764" t="str">
        <f>""</f>
        <v/>
      </c>
      <c r="O764" t="s">
        <v>2688</v>
      </c>
      <c r="P764" t="s">
        <v>2689</v>
      </c>
      <c r="R764" t="s">
        <v>967</v>
      </c>
      <c r="S764" t="s">
        <v>36</v>
      </c>
      <c r="T764" t="str">
        <f t="shared" si="112"/>
        <v>85284</v>
      </c>
      <c r="U764" t="str">
        <f>""</f>
        <v/>
      </c>
      <c r="V764" t="s">
        <v>2723</v>
      </c>
      <c r="X764" t="s">
        <v>964</v>
      </c>
      <c r="Y764" t="s">
        <v>36</v>
      </c>
      <c r="Z764" t="str">
        <f>"85048"</f>
        <v>85048</v>
      </c>
      <c r="AA764" t="str">
        <f>""</f>
        <v/>
      </c>
      <c r="AB764" t="s">
        <v>86</v>
      </c>
    </row>
    <row r="765" spans="1:28" x14ac:dyDescent="0.25">
      <c r="A765">
        <v>4267</v>
      </c>
      <c r="B765" t="str">
        <f t="shared" si="109"/>
        <v>070428000</v>
      </c>
      <c r="C765" t="s">
        <v>2680</v>
      </c>
      <c r="D765">
        <v>5312</v>
      </c>
      <c r="E765" t="str">
        <f>"070428152"</f>
        <v>070428152</v>
      </c>
      <c r="F765" t="s">
        <v>2724</v>
      </c>
      <c r="G765" t="s">
        <v>42</v>
      </c>
      <c r="H765" t="s">
        <v>2681</v>
      </c>
      <c r="I765" t="s">
        <v>2682</v>
      </c>
      <c r="J765" t="s">
        <v>2683</v>
      </c>
      <c r="K765" t="str">
        <f>"4805411317"</f>
        <v>4805411317</v>
      </c>
      <c r="L765" t="str">
        <f>""</f>
        <v/>
      </c>
      <c r="M765" t="str">
        <f t="shared" si="111"/>
        <v>4805411814</v>
      </c>
      <c r="N765" t="str">
        <f>""</f>
        <v/>
      </c>
      <c r="O765" t="s">
        <v>2688</v>
      </c>
      <c r="P765" t="s">
        <v>2689</v>
      </c>
      <c r="R765" t="s">
        <v>967</v>
      </c>
      <c r="S765" t="s">
        <v>36</v>
      </c>
      <c r="T765" t="str">
        <f t="shared" si="112"/>
        <v>85284</v>
      </c>
      <c r="U765" t="str">
        <f>""</f>
        <v/>
      </c>
      <c r="V765" t="s">
        <v>2725</v>
      </c>
      <c r="X765" t="s">
        <v>964</v>
      </c>
      <c r="Y765" t="s">
        <v>36</v>
      </c>
      <c r="Z765" t="str">
        <f>"85048"</f>
        <v>85048</v>
      </c>
      <c r="AA765" t="str">
        <f>""</f>
        <v/>
      </c>
      <c r="AB765" t="s">
        <v>86</v>
      </c>
    </row>
    <row r="766" spans="1:28" x14ac:dyDescent="0.25">
      <c r="A766">
        <v>4267</v>
      </c>
      <c r="B766" t="str">
        <f t="shared" si="109"/>
        <v>070428000</v>
      </c>
      <c r="C766" t="s">
        <v>2680</v>
      </c>
      <c r="D766">
        <v>5313</v>
      </c>
      <c r="E766" t="str">
        <f>"070428153"</f>
        <v>070428153</v>
      </c>
      <c r="F766" t="s">
        <v>2726</v>
      </c>
      <c r="G766" t="s">
        <v>42</v>
      </c>
      <c r="H766" t="s">
        <v>2681</v>
      </c>
      <c r="I766" t="s">
        <v>2682</v>
      </c>
      <c r="J766" t="s">
        <v>2683</v>
      </c>
      <c r="K766" t="str">
        <f t="shared" ref="K766:K773" si="113">"4805411371"</f>
        <v>4805411371</v>
      </c>
      <c r="L766" t="str">
        <f>""</f>
        <v/>
      </c>
      <c r="M766" t="str">
        <f t="shared" si="111"/>
        <v>4805411814</v>
      </c>
      <c r="N766" t="str">
        <f>""</f>
        <v/>
      </c>
      <c r="O766" t="s">
        <v>2688</v>
      </c>
      <c r="P766" t="s">
        <v>2689</v>
      </c>
      <c r="R766" t="s">
        <v>967</v>
      </c>
      <c r="S766" t="s">
        <v>36</v>
      </c>
      <c r="T766" t="str">
        <f t="shared" si="112"/>
        <v>85284</v>
      </c>
      <c r="U766" t="str">
        <f>""</f>
        <v/>
      </c>
      <c r="V766" t="s">
        <v>2727</v>
      </c>
      <c r="X766" t="s">
        <v>964</v>
      </c>
      <c r="Y766" t="s">
        <v>36</v>
      </c>
      <c r="Z766" t="str">
        <f>"85048"</f>
        <v>85048</v>
      </c>
      <c r="AA766" t="str">
        <f>""</f>
        <v/>
      </c>
      <c r="AB766" t="s">
        <v>86</v>
      </c>
    </row>
    <row r="767" spans="1:28" x14ac:dyDescent="0.25">
      <c r="A767">
        <v>4267</v>
      </c>
      <c r="B767" t="str">
        <f t="shared" si="109"/>
        <v>070428000</v>
      </c>
      <c r="C767" t="s">
        <v>2680</v>
      </c>
      <c r="D767">
        <v>5314</v>
      </c>
      <c r="E767" t="str">
        <f>"070428154"</f>
        <v>070428154</v>
      </c>
      <c r="F767" t="s">
        <v>2728</v>
      </c>
      <c r="G767" t="s">
        <v>42</v>
      </c>
      <c r="H767" t="s">
        <v>2681</v>
      </c>
      <c r="I767" t="s">
        <v>2682</v>
      </c>
      <c r="J767" t="s">
        <v>2683</v>
      </c>
      <c r="K767" t="str">
        <f t="shared" si="113"/>
        <v>4805411371</v>
      </c>
      <c r="L767" t="str">
        <f>""</f>
        <v/>
      </c>
      <c r="M767" t="str">
        <f t="shared" si="111"/>
        <v>4805411814</v>
      </c>
      <c r="N767" t="str">
        <f>""</f>
        <v/>
      </c>
      <c r="O767" t="s">
        <v>2688</v>
      </c>
      <c r="P767" t="s">
        <v>2689</v>
      </c>
      <c r="R767" t="s">
        <v>967</v>
      </c>
      <c r="S767" t="s">
        <v>36</v>
      </c>
      <c r="T767" t="str">
        <f t="shared" si="112"/>
        <v>85284</v>
      </c>
      <c r="U767" t="str">
        <f>""</f>
        <v/>
      </c>
      <c r="V767" t="s">
        <v>2729</v>
      </c>
      <c r="X767" t="s">
        <v>1041</v>
      </c>
      <c r="Y767" t="s">
        <v>36</v>
      </c>
      <c r="Z767" t="str">
        <f>"85226"</f>
        <v>85226</v>
      </c>
      <c r="AA767" t="str">
        <f>""</f>
        <v/>
      </c>
      <c r="AB767" t="s">
        <v>86</v>
      </c>
    </row>
    <row r="768" spans="1:28" x14ac:dyDescent="0.25">
      <c r="A768">
        <v>4267</v>
      </c>
      <c r="B768" t="str">
        <f t="shared" si="109"/>
        <v>070428000</v>
      </c>
      <c r="C768" t="s">
        <v>2680</v>
      </c>
      <c r="D768">
        <v>5315</v>
      </c>
      <c r="E768" t="str">
        <f>"070428155"</f>
        <v>070428155</v>
      </c>
      <c r="F768" t="s">
        <v>2730</v>
      </c>
      <c r="G768" t="s">
        <v>42</v>
      </c>
      <c r="H768" t="s">
        <v>2681</v>
      </c>
      <c r="I768" t="s">
        <v>2682</v>
      </c>
      <c r="J768" t="s">
        <v>2683</v>
      </c>
      <c r="K768" t="str">
        <f t="shared" si="113"/>
        <v>4805411371</v>
      </c>
      <c r="L768" t="str">
        <f>""</f>
        <v/>
      </c>
      <c r="M768" t="str">
        <f t="shared" si="111"/>
        <v>4805411814</v>
      </c>
      <c r="N768" t="str">
        <f>""</f>
        <v/>
      </c>
      <c r="O768" t="s">
        <v>2688</v>
      </c>
      <c r="P768" t="s">
        <v>2689</v>
      </c>
      <c r="R768" t="s">
        <v>967</v>
      </c>
      <c r="S768" t="s">
        <v>36</v>
      </c>
      <c r="T768" t="str">
        <f t="shared" si="112"/>
        <v>85284</v>
      </c>
      <c r="U768" t="str">
        <f>""</f>
        <v/>
      </c>
      <c r="V768" t="s">
        <v>2731</v>
      </c>
      <c r="X768" t="s">
        <v>964</v>
      </c>
      <c r="Y768" t="s">
        <v>36</v>
      </c>
      <c r="Z768" t="str">
        <f>"85044"</f>
        <v>85044</v>
      </c>
      <c r="AA768" t="str">
        <f>""</f>
        <v/>
      </c>
      <c r="AB768" t="s">
        <v>86</v>
      </c>
    </row>
    <row r="769" spans="1:28" x14ac:dyDescent="0.25">
      <c r="A769">
        <v>4267</v>
      </c>
      <c r="B769" t="str">
        <f t="shared" si="109"/>
        <v>070428000</v>
      </c>
      <c r="C769" t="s">
        <v>2680</v>
      </c>
      <c r="D769">
        <v>5316</v>
      </c>
      <c r="E769" t="str">
        <f>"070428156"</f>
        <v>070428156</v>
      </c>
      <c r="F769" t="s">
        <v>2732</v>
      </c>
      <c r="G769" t="s">
        <v>42</v>
      </c>
      <c r="H769" t="s">
        <v>2681</v>
      </c>
      <c r="I769" t="s">
        <v>2682</v>
      </c>
      <c r="J769" t="s">
        <v>2683</v>
      </c>
      <c r="K769" t="str">
        <f t="shared" si="113"/>
        <v>4805411371</v>
      </c>
      <c r="L769" t="str">
        <f>""</f>
        <v/>
      </c>
      <c r="M769" t="str">
        <f t="shared" si="111"/>
        <v>4805411814</v>
      </c>
      <c r="N769" t="str">
        <f>""</f>
        <v/>
      </c>
      <c r="O769" t="s">
        <v>2688</v>
      </c>
      <c r="P769" t="s">
        <v>2689</v>
      </c>
      <c r="R769" t="s">
        <v>967</v>
      </c>
      <c r="S769" t="s">
        <v>36</v>
      </c>
      <c r="T769" t="str">
        <f t="shared" si="112"/>
        <v>85284</v>
      </c>
      <c r="U769" t="str">
        <f>""</f>
        <v/>
      </c>
      <c r="V769" t="s">
        <v>2733</v>
      </c>
      <c r="X769" t="s">
        <v>1041</v>
      </c>
      <c r="Y769" t="s">
        <v>36</v>
      </c>
      <c r="Z769" t="str">
        <f>"85226"</f>
        <v>85226</v>
      </c>
      <c r="AA769" t="str">
        <f>""</f>
        <v/>
      </c>
      <c r="AB769" t="s">
        <v>86</v>
      </c>
    </row>
    <row r="770" spans="1:28" x14ac:dyDescent="0.25">
      <c r="A770">
        <v>4267</v>
      </c>
      <c r="B770" t="str">
        <f t="shared" si="109"/>
        <v>070428000</v>
      </c>
      <c r="C770" t="s">
        <v>2680</v>
      </c>
      <c r="D770">
        <v>5317</v>
      </c>
      <c r="E770" t="str">
        <f>"070428157"</f>
        <v>070428157</v>
      </c>
      <c r="F770" t="s">
        <v>2734</v>
      </c>
      <c r="G770" t="s">
        <v>42</v>
      </c>
      <c r="H770" t="s">
        <v>2681</v>
      </c>
      <c r="I770" t="s">
        <v>2682</v>
      </c>
      <c r="J770" t="s">
        <v>2683</v>
      </c>
      <c r="K770" t="str">
        <f t="shared" si="113"/>
        <v>4805411371</v>
      </c>
      <c r="L770" t="str">
        <f>""</f>
        <v/>
      </c>
      <c r="M770" t="str">
        <f t="shared" si="111"/>
        <v>4805411814</v>
      </c>
      <c r="N770" t="str">
        <f>""</f>
        <v/>
      </c>
      <c r="O770" t="s">
        <v>2688</v>
      </c>
      <c r="P770" t="s">
        <v>2689</v>
      </c>
      <c r="R770" t="s">
        <v>967</v>
      </c>
      <c r="S770" t="s">
        <v>36</v>
      </c>
      <c r="T770" t="str">
        <f t="shared" si="112"/>
        <v>85284</v>
      </c>
      <c r="U770" t="str">
        <f>""</f>
        <v/>
      </c>
      <c r="V770" t="s">
        <v>2692</v>
      </c>
      <c r="X770" t="s">
        <v>964</v>
      </c>
      <c r="Y770" t="s">
        <v>36</v>
      </c>
      <c r="Z770" t="str">
        <f>"85048"</f>
        <v>85048</v>
      </c>
      <c r="AA770" t="str">
        <f>""</f>
        <v/>
      </c>
      <c r="AB770" t="s">
        <v>86</v>
      </c>
    </row>
    <row r="771" spans="1:28" x14ac:dyDescent="0.25">
      <c r="A771">
        <v>4267</v>
      </c>
      <c r="B771" t="str">
        <f t="shared" si="109"/>
        <v>070428000</v>
      </c>
      <c r="C771" t="s">
        <v>2680</v>
      </c>
      <c r="D771">
        <v>5318</v>
      </c>
      <c r="E771" t="str">
        <f>"070428159"</f>
        <v>070428159</v>
      </c>
      <c r="F771" t="s">
        <v>2735</v>
      </c>
      <c r="G771" t="s">
        <v>42</v>
      </c>
      <c r="H771" t="s">
        <v>2681</v>
      </c>
      <c r="I771" t="s">
        <v>2682</v>
      </c>
      <c r="J771" t="s">
        <v>2683</v>
      </c>
      <c r="K771" t="str">
        <f t="shared" si="113"/>
        <v>4805411371</v>
      </c>
      <c r="L771" t="str">
        <f>""</f>
        <v/>
      </c>
      <c r="M771" t="str">
        <f t="shared" si="111"/>
        <v>4805411814</v>
      </c>
      <c r="N771" t="str">
        <f>""</f>
        <v/>
      </c>
      <c r="O771" t="s">
        <v>2688</v>
      </c>
      <c r="P771" t="s">
        <v>2689</v>
      </c>
      <c r="R771" t="s">
        <v>967</v>
      </c>
      <c r="S771" t="s">
        <v>36</v>
      </c>
      <c r="T771" t="str">
        <f t="shared" si="112"/>
        <v>85284</v>
      </c>
      <c r="U771" t="str">
        <f>""</f>
        <v/>
      </c>
      <c r="V771" t="s">
        <v>2736</v>
      </c>
      <c r="X771" t="s">
        <v>967</v>
      </c>
      <c r="Y771" t="s">
        <v>36</v>
      </c>
      <c r="Z771" t="str">
        <f>"85284"</f>
        <v>85284</v>
      </c>
      <c r="AA771" t="str">
        <f>""</f>
        <v/>
      </c>
      <c r="AB771" t="s">
        <v>86</v>
      </c>
    </row>
    <row r="772" spans="1:28" x14ac:dyDescent="0.25">
      <c r="A772">
        <v>4267</v>
      </c>
      <c r="B772" t="str">
        <f t="shared" si="109"/>
        <v>070428000</v>
      </c>
      <c r="C772" t="s">
        <v>2680</v>
      </c>
      <c r="D772">
        <v>78923</v>
      </c>
      <c r="E772" t="str">
        <f>"070428158"</f>
        <v>070428158</v>
      </c>
      <c r="F772" t="s">
        <v>2737</v>
      </c>
      <c r="G772" t="s">
        <v>42</v>
      </c>
      <c r="H772" t="s">
        <v>2681</v>
      </c>
      <c r="I772" t="s">
        <v>2682</v>
      </c>
      <c r="J772" t="s">
        <v>2683</v>
      </c>
      <c r="K772" t="str">
        <f t="shared" si="113"/>
        <v>4805411371</v>
      </c>
      <c r="L772" t="str">
        <f>""</f>
        <v/>
      </c>
      <c r="M772" t="str">
        <f t="shared" si="111"/>
        <v>4805411814</v>
      </c>
      <c r="N772" t="str">
        <f>""</f>
        <v/>
      </c>
      <c r="O772" t="s">
        <v>2688</v>
      </c>
      <c r="P772" t="s">
        <v>2689</v>
      </c>
      <c r="R772" t="s">
        <v>967</v>
      </c>
      <c r="S772" t="s">
        <v>36</v>
      </c>
      <c r="T772" t="str">
        <f t="shared" si="112"/>
        <v>85284</v>
      </c>
      <c r="U772" t="str">
        <f>""</f>
        <v/>
      </c>
      <c r="V772" t="s">
        <v>2738</v>
      </c>
      <c r="X772" t="s">
        <v>964</v>
      </c>
      <c r="Y772" t="s">
        <v>36</v>
      </c>
      <c r="Z772" t="str">
        <f>"85048"</f>
        <v>85048</v>
      </c>
      <c r="AA772" t="str">
        <f>""</f>
        <v/>
      </c>
      <c r="AB772" t="s">
        <v>86</v>
      </c>
    </row>
    <row r="773" spans="1:28" x14ac:dyDescent="0.25">
      <c r="A773">
        <v>4267</v>
      </c>
      <c r="B773" t="str">
        <f t="shared" si="109"/>
        <v>070428000</v>
      </c>
      <c r="C773" t="s">
        <v>2680</v>
      </c>
      <c r="D773">
        <v>79143</v>
      </c>
      <c r="E773" t="str">
        <f>"070428160"</f>
        <v>070428160</v>
      </c>
      <c r="F773" t="s">
        <v>2739</v>
      </c>
      <c r="G773" t="s">
        <v>42</v>
      </c>
      <c r="H773" t="s">
        <v>2681</v>
      </c>
      <c r="I773" t="s">
        <v>2682</v>
      </c>
      <c r="J773" t="s">
        <v>2683</v>
      </c>
      <c r="K773" t="str">
        <f t="shared" si="113"/>
        <v>4805411371</v>
      </c>
      <c r="L773" t="str">
        <f>""</f>
        <v/>
      </c>
      <c r="M773" t="str">
        <f t="shared" si="111"/>
        <v>4805411814</v>
      </c>
      <c r="N773" t="str">
        <f>""</f>
        <v/>
      </c>
      <c r="O773" t="s">
        <v>2688</v>
      </c>
      <c r="P773" t="s">
        <v>2689</v>
      </c>
      <c r="R773" t="s">
        <v>967</v>
      </c>
      <c r="S773" t="s">
        <v>36</v>
      </c>
      <c r="T773" t="str">
        <f t="shared" si="112"/>
        <v>85284</v>
      </c>
      <c r="U773" t="str">
        <f>""</f>
        <v/>
      </c>
      <c r="V773" t="s">
        <v>2740</v>
      </c>
      <c r="X773" t="s">
        <v>964</v>
      </c>
      <c r="Y773" t="s">
        <v>36</v>
      </c>
      <c r="Z773" t="str">
        <f>"85048"</f>
        <v>85048</v>
      </c>
      <c r="AA773" t="str">
        <f>""</f>
        <v/>
      </c>
      <c r="AB773" t="s">
        <v>86</v>
      </c>
    </row>
    <row r="774" spans="1:28" x14ac:dyDescent="0.25">
      <c r="A774">
        <v>4268</v>
      </c>
      <c r="B774" t="str">
        <f t="shared" ref="B774:B779" si="114">"070431000"</f>
        <v>070431000</v>
      </c>
      <c r="C774" t="s">
        <v>2741</v>
      </c>
      <c r="D774">
        <v>0</v>
      </c>
      <c r="E774" t="str">
        <f>""</f>
        <v/>
      </c>
      <c r="G774" t="s">
        <v>29</v>
      </c>
      <c r="H774" t="s">
        <v>815</v>
      </c>
      <c r="I774" t="s">
        <v>2742</v>
      </c>
      <c r="J774" t="s">
        <v>2743</v>
      </c>
      <c r="K774" t="str">
        <f>"6026296460"</f>
        <v>6026296460</v>
      </c>
      <c r="L774" t="str">
        <f>""</f>
        <v/>
      </c>
      <c r="M774" t="str">
        <f>""</f>
        <v/>
      </c>
      <c r="N774" t="str">
        <f>""</f>
        <v/>
      </c>
      <c r="O774" t="s">
        <v>2744</v>
      </c>
      <c r="P774" t="s">
        <v>2745</v>
      </c>
      <c r="R774" t="s">
        <v>964</v>
      </c>
      <c r="S774" t="s">
        <v>36</v>
      </c>
      <c r="T774" t="str">
        <f t="shared" ref="T774:T779" si="115">"85008"</f>
        <v>85008</v>
      </c>
      <c r="U774" t="str">
        <f>""</f>
        <v/>
      </c>
      <c r="V774" t="s">
        <v>2745</v>
      </c>
      <c r="X774" t="s">
        <v>964</v>
      </c>
      <c r="Y774" t="s">
        <v>36</v>
      </c>
      <c r="Z774" t="str">
        <f t="shared" ref="Z774:Z779" si="116">"85008"</f>
        <v>85008</v>
      </c>
      <c r="AA774" t="str">
        <f>""</f>
        <v/>
      </c>
      <c r="AB774" t="s">
        <v>124</v>
      </c>
    </row>
    <row r="775" spans="1:28" x14ac:dyDescent="0.25">
      <c r="A775">
        <v>4268</v>
      </c>
      <c r="B775" t="str">
        <f t="shared" si="114"/>
        <v>070431000</v>
      </c>
      <c r="C775" t="s">
        <v>2741</v>
      </c>
      <c r="D775">
        <v>5319</v>
      </c>
      <c r="E775" t="str">
        <f>"070431101"</f>
        <v>070431101</v>
      </c>
      <c r="F775" t="s">
        <v>2746</v>
      </c>
      <c r="G775" t="s">
        <v>42</v>
      </c>
      <c r="H775" t="s">
        <v>398</v>
      </c>
      <c r="I775" t="s">
        <v>379</v>
      </c>
      <c r="J775" t="s">
        <v>2747</v>
      </c>
      <c r="K775" t="str">
        <f>"6026296524"</f>
        <v>6026296524</v>
      </c>
      <c r="L775" t="str">
        <f>""</f>
        <v/>
      </c>
      <c r="M775" t="str">
        <f>"6026296475"</f>
        <v>6026296475</v>
      </c>
      <c r="N775" t="str">
        <f>""</f>
        <v/>
      </c>
      <c r="O775" t="s">
        <v>2748</v>
      </c>
      <c r="P775" t="s">
        <v>2749</v>
      </c>
      <c r="R775" t="s">
        <v>964</v>
      </c>
      <c r="S775" t="s">
        <v>36</v>
      </c>
      <c r="T775" t="str">
        <f t="shared" si="115"/>
        <v>85008</v>
      </c>
      <c r="U775" t="str">
        <f>""</f>
        <v/>
      </c>
      <c r="V775" t="s">
        <v>2749</v>
      </c>
      <c r="X775" t="s">
        <v>964</v>
      </c>
      <c r="Y775" t="s">
        <v>36</v>
      </c>
      <c r="Z775" t="str">
        <f t="shared" si="116"/>
        <v>85008</v>
      </c>
      <c r="AA775" t="str">
        <f>""</f>
        <v/>
      </c>
      <c r="AB775" t="s">
        <v>124</v>
      </c>
    </row>
    <row r="776" spans="1:28" x14ac:dyDescent="0.25">
      <c r="A776">
        <v>4268</v>
      </c>
      <c r="B776" t="str">
        <f t="shared" si="114"/>
        <v>070431000</v>
      </c>
      <c r="C776" t="s">
        <v>2741</v>
      </c>
      <c r="D776">
        <v>5320</v>
      </c>
      <c r="E776" t="str">
        <f>"070431102"</f>
        <v>070431102</v>
      </c>
      <c r="F776" t="s">
        <v>2750</v>
      </c>
      <c r="G776" t="s">
        <v>42</v>
      </c>
      <c r="H776" t="s">
        <v>448</v>
      </c>
      <c r="I776" t="s">
        <v>2751</v>
      </c>
      <c r="J776" t="s">
        <v>2752</v>
      </c>
      <c r="K776" t="str">
        <f>"6026296624"</f>
        <v>6026296624</v>
      </c>
      <c r="L776" t="str">
        <f>""</f>
        <v/>
      </c>
      <c r="M776" t="str">
        <f>"6026296475"</f>
        <v>6026296475</v>
      </c>
      <c r="N776" t="str">
        <f>""</f>
        <v/>
      </c>
      <c r="O776" t="s">
        <v>2753</v>
      </c>
      <c r="P776" t="s">
        <v>2754</v>
      </c>
      <c r="R776" t="s">
        <v>964</v>
      </c>
      <c r="S776" t="s">
        <v>36</v>
      </c>
      <c r="T776" t="str">
        <f t="shared" si="115"/>
        <v>85008</v>
      </c>
      <c r="U776" t="str">
        <f>""</f>
        <v/>
      </c>
      <c r="V776" t="s">
        <v>2754</v>
      </c>
      <c r="X776" t="s">
        <v>964</v>
      </c>
      <c r="Y776" t="s">
        <v>36</v>
      </c>
      <c r="Z776" t="str">
        <f t="shared" si="116"/>
        <v>85008</v>
      </c>
      <c r="AA776" t="str">
        <f>""</f>
        <v/>
      </c>
      <c r="AB776" t="s">
        <v>124</v>
      </c>
    </row>
    <row r="777" spans="1:28" x14ac:dyDescent="0.25">
      <c r="A777">
        <v>4268</v>
      </c>
      <c r="B777" t="str">
        <f t="shared" si="114"/>
        <v>070431000</v>
      </c>
      <c r="C777" t="s">
        <v>2741</v>
      </c>
      <c r="D777">
        <v>5321</v>
      </c>
      <c r="E777" t="str">
        <f>"070431103"</f>
        <v>070431103</v>
      </c>
      <c r="F777" t="s">
        <v>2755</v>
      </c>
      <c r="G777" t="s">
        <v>42</v>
      </c>
      <c r="H777" t="s">
        <v>2756</v>
      </c>
      <c r="I777" t="s">
        <v>2757</v>
      </c>
      <c r="J777" t="s">
        <v>2747</v>
      </c>
      <c r="K777" t="str">
        <f>"6026296724"</f>
        <v>6026296724</v>
      </c>
      <c r="L777" t="str">
        <f>""</f>
        <v/>
      </c>
      <c r="M777" t="str">
        <f>"6026296475"</f>
        <v>6026296475</v>
      </c>
      <c r="N777" t="str">
        <f>""</f>
        <v/>
      </c>
      <c r="O777" t="s">
        <v>2758</v>
      </c>
      <c r="P777" t="s">
        <v>2759</v>
      </c>
      <c r="R777" t="s">
        <v>964</v>
      </c>
      <c r="S777" t="s">
        <v>36</v>
      </c>
      <c r="T777" t="str">
        <f t="shared" si="115"/>
        <v>85008</v>
      </c>
      <c r="U777" t="str">
        <f>""</f>
        <v/>
      </c>
      <c r="V777" t="s">
        <v>2759</v>
      </c>
      <c r="X777" t="s">
        <v>964</v>
      </c>
      <c r="Y777" t="s">
        <v>36</v>
      </c>
      <c r="Z777" t="str">
        <f t="shared" si="116"/>
        <v>85008</v>
      </c>
      <c r="AA777" t="str">
        <f>""</f>
        <v/>
      </c>
      <c r="AB777" t="s">
        <v>124</v>
      </c>
    </row>
    <row r="778" spans="1:28" x14ac:dyDescent="0.25">
      <c r="A778">
        <v>4268</v>
      </c>
      <c r="B778" t="str">
        <f t="shared" si="114"/>
        <v>070431000</v>
      </c>
      <c r="C778" t="s">
        <v>2741</v>
      </c>
      <c r="D778">
        <v>81141</v>
      </c>
      <c r="E778" t="str">
        <f>"070431105"</f>
        <v>070431105</v>
      </c>
      <c r="F778" t="s">
        <v>2760</v>
      </c>
      <c r="G778" t="s">
        <v>42</v>
      </c>
      <c r="H778" t="s">
        <v>398</v>
      </c>
      <c r="I778" t="s">
        <v>2761</v>
      </c>
      <c r="J778" t="s">
        <v>2747</v>
      </c>
      <c r="K778" t="str">
        <f>"6026296924"</f>
        <v>6026296924</v>
      </c>
      <c r="L778" t="str">
        <f>""</f>
        <v/>
      </c>
      <c r="M778" t="str">
        <f>"6026296475"</f>
        <v>6026296475</v>
      </c>
      <c r="N778" t="str">
        <f>""</f>
        <v/>
      </c>
      <c r="O778" t="s">
        <v>2748</v>
      </c>
      <c r="P778" t="s">
        <v>2762</v>
      </c>
      <c r="R778" t="s">
        <v>964</v>
      </c>
      <c r="S778" t="s">
        <v>36</v>
      </c>
      <c r="T778" t="str">
        <f t="shared" si="115"/>
        <v>85008</v>
      </c>
      <c r="U778" t="str">
        <f>""</f>
        <v/>
      </c>
      <c r="V778" t="s">
        <v>2762</v>
      </c>
      <c r="X778" t="s">
        <v>964</v>
      </c>
      <c r="Y778" t="s">
        <v>36</v>
      </c>
      <c r="Z778" t="str">
        <f t="shared" si="116"/>
        <v>85008</v>
      </c>
      <c r="AA778" t="str">
        <f>""</f>
        <v/>
      </c>
      <c r="AB778" t="s">
        <v>124</v>
      </c>
    </row>
    <row r="779" spans="1:28" x14ac:dyDescent="0.25">
      <c r="A779">
        <v>4268</v>
      </c>
      <c r="B779" t="str">
        <f t="shared" si="114"/>
        <v>070431000</v>
      </c>
      <c r="C779" t="s">
        <v>2741</v>
      </c>
      <c r="D779">
        <v>92301</v>
      </c>
      <c r="E779" t="str">
        <f>"070431106"</f>
        <v>070431106</v>
      </c>
      <c r="F779" t="s">
        <v>2763</v>
      </c>
      <c r="G779" t="s">
        <v>42</v>
      </c>
      <c r="H779" t="s">
        <v>857</v>
      </c>
      <c r="I779" t="s">
        <v>2764</v>
      </c>
      <c r="J779" t="s">
        <v>195</v>
      </c>
      <c r="K779" t="str">
        <f>"6026296444"</f>
        <v>6026296444</v>
      </c>
      <c r="L779" t="str">
        <f>""</f>
        <v/>
      </c>
      <c r="M779" t="str">
        <f>""</f>
        <v/>
      </c>
      <c r="N779" t="str">
        <f>""</f>
        <v/>
      </c>
      <c r="O779" t="s">
        <v>2765</v>
      </c>
      <c r="P779" t="s">
        <v>2766</v>
      </c>
      <c r="R779" t="s">
        <v>964</v>
      </c>
      <c r="S779" t="s">
        <v>36</v>
      </c>
      <c r="T779" t="str">
        <f t="shared" si="115"/>
        <v>85008</v>
      </c>
      <c r="U779" t="str">
        <f>""</f>
        <v/>
      </c>
      <c r="V779" t="s">
        <v>2766</v>
      </c>
      <c r="X779" t="s">
        <v>964</v>
      </c>
      <c r="Y779" t="s">
        <v>36</v>
      </c>
      <c r="Z779" t="str">
        <f t="shared" si="116"/>
        <v>85008</v>
      </c>
      <c r="AA779" t="str">
        <f>""</f>
        <v/>
      </c>
      <c r="AB779" t="s">
        <v>124</v>
      </c>
    </row>
    <row r="780" spans="1:28" x14ac:dyDescent="0.25">
      <c r="A780">
        <v>4269</v>
      </c>
      <c r="B780" t="str">
        <f t="shared" ref="B780:B787" si="117">"070433000"</f>
        <v>070433000</v>
      </c>
      <c r="C780" t="s">
        <v>2767</v>
      </c>
      <c r="D780">
        <v>0</v>
      </c>
      <c r="E780" t="str">
        <f>""</f>
        <v/>
      </c>
      <c r="G780" t="s">
        <v>29</v>
      </c>
      <c r="H780" t="s">
        <v>2768</v>
      </c>
      <c r="I780" t="s">
        <v>2769</v>
      </c>
      <c r="J780" t="s">
        <v>2770</v>
      </c>
      <c r="K780" t="str">
        <f>"6239253400"</f>
        <v>6239253400</v>
      </c>
      <c r="L780" t="str">
        <f>""</f>
        <v/>
      </c>
      <c r="M780" t="str">
        <f>""</f>
        <v/>
      </c>
      <c r="N780" t="str">
        <f>""</f>
        <v/>
      </c>
      <c r="O780" t="s">
        <v>2771</v>
      </c>
      <c r="P780" t="s">
        <v>2772</v>
      </c>
      <c r="R780" t="s">
        <v>1158</v>
      </c>
      <c r="S780" t="s">
        <v>36</v>
      </c>
      <c r="T780" t="str">
        <f t="shared" ref="T780:T787" si="118">"85326"</f>
        <v>85326</v>
      </c>
      <c r="U780" t="str">
        <f>""</f>
        <v/>
      </c>
      <c r="V780" t="s">
        <v>2772</v>
      </c>
      <c r="X780" t="s">
        <v>1158</v>
      </c>
      <c r="Y780" t="s">
        <v>36</v>
      </c>
      <c r="Z780" t="str">
        <f t="shared" ref="Z780:Z787" si="119">"85326"</f>
        <v>85326</v>
      </c>
      <c r="AA780" t="str">
        <f>""</f>
        <v/>
      </c>
      <c r="AB780" t="s">
        <v>1166</v>
      </c>
    </row>
    <row r="781" spans="1:28" x14ac:dyDescent="0.25">
      <c r="A781">
        <v>4269</v>
      </c>
      <c r="B781" t="str">
        <f t="shared" si="117"/>
        <v>070433000</v>
      </c>
      <c r="C781" t="s">
        <v>2767</v>
      </c>
      <c r="D781">
        <v>81110</v>
      </c>
      <c r="E781" t="str">
        <f>"070433102"</f>
        <v>070433102</v>
      </c>
      <c r="F781" t="s">
        <v>2773</v>
      </c>
      <c r="G781" t="s">
        <v>42</v>
      </c>
      <c r="H781" t="s">
        <v>2774</v>
      </c>
      <c r="I781" t="s">
        <v>2775</v>
      </c>
      <c r="J781" t="s">
        <v>32</v>
      </c>
      <c r="K781" t="str">
        <f t="shared" ref="K781:K787" si="120">"6239253421"</f>
        <v>6239253421</v>
      </c>
      <c r="L781" t="str">
        <f>""</f>
        <v/>
      </c>
      <c r="M781" t="str">
        <f t="shared" ref="M781:M787" si="121">"6233864471"</f>
        <v>6233864471</v>
      </c>
      <c r="N781" t="str">
        <f>""</f>
        <v/>
      </c>
      <c r="O781" t="s">
        <v>2776</v>
      </c>
      <c r="P781" t="s">
        <v>2777</v>
      </c>
      <c r="R781" t="s">
        <v>1158</v>
      </c>
      <c r="S781" t="s">
        <v>36</v>
      </c>
      <c r="T781" t="str">
        <f t="shared" si="118"/>
        <v>85326</v>
      </c>
      <c r="U781" t="str">
        <f>""</f>
        <v/>
      </c>
      <c r="V781" t="s">
        <v>2778</v>
      </c>
      <c r="X781" t="s">
        <v>1158</v>
      </c>
      <c r="Y781" t="s">
        <v>36</v>
      </c>
      <c r="Z781" t="str">
        <f t="shared" si="119"/>
        <v>85326</v>
      </c>
      <c r="AA781" t="str">
        <f>""</f>
        <v/>
      </c>
      <c r="AB781" t="s">
        <v>1166</v>
      </c>
    </row>
    <row r="782" spans="1:28" x14ac:dyDescent="0.25">
      <c r="A782">
        <v>4269</v>
      </c>
      <c r="B782" t="str">
        <f t="shared" si="117"/>
        <v>070433000</v>
      </c>
      <c r="C782" t="s">
        <v>2767</v>
      </c>
      <c r="D782">
        <v>87471</v>
      </c>
      <c r="E782" t="str">
        <f>"070433105"</f>
        <v>070433105</v>
      </c>
      <c r="F782" t="s">
        <v>2779</v>
      </c>
      <c r="G782" t="s">
        <v>42</v>
      </c>
      <c r="H782" t="s">
        <v>2774</v>
      </c>
      <c r="I782" t="s">
        <v>2775</v>
      </c>
      <c r="J782" t="s">
        <v>32</v>
      </c>
      <c r="K782" t="str">
        <f t="shared" si="120"/>
        <v>6239253421</v>
      </c>
      <c r="L782" t="str">
        <f>"3421"</f>
        <v>3421</v>
      </c>
      <c r="M782" t="str">
        <f t="shared" si="121"/>
        <v>6233864471</v>
      </c>
      <c r="N782" t="str">
        <f>""</f>
        <v/>
      </c>
      <c r="O782" t="s">
        <v>2776</v>
      </c>
      <c r="P782" t="s">
        <v>2777</v>
      </c>
      <c r="R782" t="s">
        <v>1158</v>
      </c>
      <c r="S782" t="s">
        <v>36</v>
      </c>
      <c r="T782" t="str">
        <f t="shared" si="118"/>
        <v>85326</v>
      </c>
      <c r="U782" t="str">
        <f>""</f>
        <v/>
      </c>
      <c r="V782" t="s">
        <v>2780</v>
      </c>
      <c r="X782" t="s">
        <v>1158</v>
      </c>
      <c r="Y782" t="s">
        <v>36</v>
      </c>
      <c r="Z782" t="str">
        <f t="shared" si="119"/>
        <v>85326</v>
      </c>
      <c r="AA782" t="str">
        <f>""</f>
        <v/>
      </c>
      <c r="AB782" t="s">
        <v>1166</v>
      </c>
    </row>
    <row r="783" spans="1:28" x14ac:dyDescent="0.25">
      <c r="A783">
        <v>4269</v>
      </c>
      <c r="B783" t="str">
        <f t="shared" si="117"/>
        <v>070433000</v>
      </c>
      <c r="C783" t="s">
        <v>2767</v>
      </c>
      <c r="D783">
        <v>87473</v>
      </c>
      <c r="E783" t="str">
        <f>"070433109"</f>
        <v>070433109</v>
      </c>
      <c r="F783" t="s">
        <v>2781</v>
      </c>
      <c r="G783" t="s">
        <v>42</v>
      </c>
      <c r="H783" t="s">
        <v>2774</v>
      </c>
      <c r="I783" t="s">
        <v>2775</v>
      </c>
      <c r="J783" t="s">
        <v>32</v>
      </c>
      <c r="K783" t="str">
        <f t="shared" si="120"/>
        <v>6239253421</v>
      </c>
      <c r="L783" t="str">
        <f>"3421"</f>
        <v>3421</v>
      </c>
      <c r="M783" t="str">
        <f t="shared" si="121"/>
        <v>6233864471</v>
      </c>
      <c r="N783" t="str">
        <f>""</f>
        <v/>
      </c>
      <c r="O783" t="s">
        <v>2776</v>
      </c>
      <c r="P783" t="s">
        <v>2777</v>
      </c>
      <c r="R783" t="s">
        <v>1158</v>
      </c>
      <c r="S783" t="s">
        <v>36</v>
      </c>
      <c r="T783" t="str">
        <f t="shared" si="118"/>
        <v>85326</v>
      </c>
      <c r="U783" t="str">
        <f>""</f>
        <v/>
      </c>
      <c r="V783" t="s">
        <v>2782</v>
      </c>
      <c r="X783" t="s">
        <v>1158</v>
      </c>
      <c r="Y783" t="s">
        <v>36</v>
      </c>
      <c r="Z783" t="str">
        <f t="shared" si="119"/>
        <v>85326</v>
      </c>
      <c r="AA783" t="str">
        <f>""</f>
        <v/>
      </c>
      <c r="AB783" t="s">
        <v>1166</v>
      </c>
    </row>
    <row r="784" spans="1:28" x14ac:dyDescent="0.25">
      <c r="A784">
        <v>4269</v>
      </c>
      <c r="B784" t="str">
        <f t="shared" si="117"/>
        <v>070433000</v>
      </c>
      <c r="C784" t="s">
        <v>2767</v>
      </c>
      <c r="D784">
        <v>88398</v>
      </c>
      <c r="E784" t="str">
        <f>"070433103"</f>
        <v>070433103</v>
      </c>
      <c r="F784" t="s">
        <v>2783</v>
      </c>
      <c r="G784" t="s">
        <v>42</v>
      </c>
      <c r="H784" t="s">
        <v>2774</v>
      </c>
      <c r="I784" t="s">
        <v>2775</v>
      </c>
      <c r="J784" t="s">
        <v>32</v>
      </c>
      <c r="K784" t="str">
        <f t="shared" si="120"/>
        <v>6239253421</v>
      </c>
      <c r="L784" t="str">
        <f>"3421"</f>
        <v>3421</v>
      </c>
      <c r="M784" t="str">
        <f t="shared" si="121"/>
        <v>6233864471</v>
      </c>
      <c r="N784" t="str">
        <f>""</f>
        <v/>
      </c>
      <c r="O784" t="s">
        <v>2776</v>
      </c>
      <c r="P784" t="s">
        <v>2784</v>
      </c>
      <c r="Q784" t="s">
        <v>2785</v>
      </c>
      <c r="R784" t="s">
        <v>1158</v>
      </c>
      <c r="S784" t="s">
        <v>36</v>
      </c>
      <c r="T784" t="str">
        <f t="shared" si="118"/>
        <v>85326</v>
      </c>
      <c r="U784" t="str">
        <f>""</f>
        <v/>
      </c>
      <c r="V784" t="s">
        <v>2786</v>
      </c>
      <c r="X784" t="s">
        <v>1158</v>
      </c>
      <c r="Y784" t="s">
        <v>36</v>
      </c>
      <c r="Z784" t="str">
        <f t="shared" si="119"/>
        <v>85326</v>
      </c>
      <c r="AA784" t="str">
        <f>""</f>
        <v/>
      </c>
      <c r="AB784" t="s">
        <v>1166</v>
      </c>
    </row>
    <row r="785" spans="1:28" x14ac:dyDescent="0.25">
      <c r="A785">
        <v>4269</v>
      </c>
      <c r="B785" t="str">
        <f t="shared" si="117"/>
        <v>070433000</v>
      </c>
      <c r="C785" t="s">
        <v>2767</v>
      </c>
      <c r="D785">
        <v>89572</v>
      </c>
      <c r="E785" t="str">
        <f>"070433104"</f>
        <v>070433104</v>
      </c>
      <c r="F785" t="s">
        <v>2787</v>
      </c>
      <c r="G785" t="s">
        <v>42</v>
      </c>
      <c r="H785" t="s">
        <v>2774</v>
      </c>
      <c r="I785" t="s">
        <v>2775</v>
      </c>
      <c r="J785" t="s">
        <v>32</v>
      </c>
      <c r="K785" t="str">
        <f t="shared" si="120"/>
        <v>6239253421</v>
      </c>
      <c r="L785" t="str">
        <f>"3421"</f>
        <v>3421</v>
      </c>
      <c r="M785" t="str">
        <f t="shared" si="121"/>
        <v>6233864471</v>
      </c>
      <c r="N785" t="str">
        <f>""</f>
        <v/>
      </c>
      <c r="O785" t="s">
        <v>2776</v>
      </c>
      <c r="P785" t="s">
        <v>2777</v>
      </c>
      <c r="R785" t="s">
        <v>1158</v>
      </c>
      <c r="S785" t="s">
        <v>36</v>
      </c>
      <c r="T785" t="str">
        <f t="shared" si="118"/>
        <v>85326</v>
      </c>
      <c r="U785" t="str">
        <f>""</f>
        <v/>
      </c>
      <c r="V785" t="s">
        <v>2788</v>
      </c>
      <c r="X785" t="s">
        <v>1158</v>
      </c>
      <c r="Y785" t="s">
        <v>36</v>
      </c>
      <c r="Z785" t="str">
        <f t="shared" si="119"/>
        <v>85326</v>
      </c>
      <c r="AA785" t="str">
        <f>""</f>
        <v/>
      </c>
      <c r="AB785" t="s">
        <v>1166</v>
      </c>
    </row>
    <row r="786" spans="1:28" x14ac:dyDescent="0.25">
      <c r="A786">
        <v>4269</v>
      </c>
      <c r="B786" t="str">
        <f t="shared" si="117"/>
        <v>070433000</v>
      </c>
      <c r="C786" t="s">
        <v>2767</v>
      </c>
      <c r="D786">
        <v>90341</v>
      </c>
      <c r="E786" t="str">
        <f>"070433107"</f>
        <v>070433107</v>
      </c>
      <c r="F786" t="s">
        <v>2789</v>
      </c>
      <c r="G786" t="s">
        <v>42</v>
      </c>
      <c r="H786" t="s">
        <v>2774</v>
      </c>
      <c r="I786" t="s">
        <v>2775</v>
      </c>
      <c r="J786" t="s">
        <v>32</v>
      </c>
      <c r="K786" t="str">
        <f t="shared" si="120"/>
        <v>6239253421</v>
      </c>
      <c r="L786" t="str">
        <f>"3421"</f>
        <v>3421</v>
      </c>
      <c r="M786" t="str">
        <f t="shared" si="121"/>
        <v>6233864471</v>
      </c>
      <c r="N786" t="str">
        <f>""</f>
        <v/>
      </c>
      <c r="O786" t="s">
        <v>2776</v>
      </c>
      <c r="P786" t="s">
        <v>2790</v>
      </c>
      <c r="R786" t="s">
        <v>1158</v>
      </c>
      <c r="S786" t="s">
        <v>36</v>
      </c>
      <c r="T786" t="str">
        <f t="shared" si="118"/>
        <v>85326</v>
      </c>
      <c r="U786" t="str">
        <f>""</f>
        <v/>
      </c>
      <c r="V786" t="s">
        <v>2791</v>
      </c>
      <c r="X786" t="s">
        <v>1158</v>
      </c>
      <c r="Y786" t="s">
        <v>36</v>
      </c>
      <c r="Z786" t="str">
        <f t="shared" si="119"/>
        <v>85326</v>
      </c>
      <c r="AA786" t="str">
        <f>""</f>
        <v/>
      </c>
      <c r="AB786" t="s">
        <v>1166</v>
      </c>
    </row>
    <row r="787" spans="1:28" x14ac:dyDescent="0.25">
      <c r="A787">
        <v>4269</v>
      </c>
      <c r="B787" t="str">
        <f t="shared" si="117"/>
        <v>070433000</v>
      </c>
      <c r="C787" t="s">
        <v>2767</v>
      </c>
      <c r="D787">
        <v>527220</v>
      </c>
      <c r="E787" t="str">
        <f>"070433106"</f>
        <v>070433106</v>
      </c>
      <c r="F787" t="s">
        <v>2792</v>
      </c>
      <c r="G787" t="s">
        <v>42</v>
      </c>
      <c r="H787" t="s">
        <v>2774</v>
      </c>
      <c r="I787" t="s">
        <v>2775</v>
      </c>
      <c r="J787" t="s">
        <v>32</v>
      </c>
      <c r="K787" t="str">
        <f t="shared" si="120"/>
        <v>6239253421</v>
      </c>
      <c r="L787" t="str">
        <f>""</f>
        <v/>
      </c>
      <c r="M787" t="str">
        <f t="shared" si="121"/>
        <v>6233864471</v>
      </c>
      <c r="N787" t="str">
        <f>""</f>
        <v/>
      </c>
      <c r="O787" t="s">
        <v>2776</v>
      </c>
      <c r="P787" t="s">
        <v>2777</v>
      </c>
      <c r="R787" t="s">
        <v>1158</v>
      </c>
      <c r="S787" t="s">
        <v>36</v>
      </c>
      <c r="T787" t="str">
        <f t="shared" si="118"/>
        <v>85326</v>
      </c>
      <c r="U787" t="str">
        <f>""</f>
        <v/>
      </c>
      <c r="V787" t="s">
        <v>2793</v>
      </c>
      <c r="X787" t="s">
        <v>1158</v>
      </c>
      <c r="Y787" t="s">
        <v>36</v>
      </c>
      <c r="Z787" t="str">
        <f t="shared" si="119"/>
        <v>85326</v>
      </c>
      <c r="AA787" t="str">
        <f>""</f>
        <v/>
      </c>
      <c r="AB787" t="s">
        <v>1166</v>
      </c>
    </row>
    <row r="788" spans="1:28" x14ac:dyDescent="0.25">
      <c r="A788">
        <v>4270</v>
      </c>
      <c r="B788" t="str">
        <f t="shared" ref="B788:B797" si="122">"070438000"</f>
        <v>070438000</v>
      </c>
      <c r="C788" t="s">
        <v>2794</v>
      </c>
      <c r="D788">
        <v>0</v>
      </c>
      <c r="E788" t="str">
        <f>""</f>
        <v/>
      </c>
      <c r="G788" t="s">
        <v>29</v>
      </c>
      <c r="H788" t="s">
        <v>896</v>
      </c>
      <c r="I788" t="s">
        <v>2795</v>
      </c>
      <c r="J788" t="s">
        <v>2796</v>
      </c>
      <c r="K788" t="str">
        <f>"6026647913"</f>
        <v>6026647913</v>
      </c>
      <c r="L788" t="str">
        <f>""</f>
        <v/>
      </c>
      <c r="M788" t="str">
        <f>""</f>
        <v/>
      </c>
      <c r="N788" t="str">
        <f>""</f>
        <v/>
      </c>
      <c r="O788" t="s">
        <v>2797</v>
      </c>
      <c r="P788" t="s">
        <v>2798</v>
      </c>
      <c r="Q788" t="s">
        <v>2799</v>
      </c>
      <c r="R788" t="s">
        <v>964</v>
      </c>
      <c r="S788" t="s">
        <v>36</v>
      </c>
      <c r="T788" t="str">
        <f>"85016"</f>
        <v>85016</v>
      </c>
      <c r="U788" t="str">
        <f>""</f>
        <v/>
      </c>
      <c r="V788" t="s">
        <v>2798</v>
      </c>
      <c r="W788" t="s">
        <v>2799</v>
      </c>
      <c r="X788" t="s">
        <v>964</v>
      </c>
      <c r="Y788" t="s">
        <v>36</v>
      </c>
      <c r="Z788" t="str">
        <f>"85016"</f>
        <v>85016</v>
      </c>
      <c r="AA788" t="str">
        <f>""</f>
        <v/>
      </c>
      <c r="AB788" t="s">
        <v>56</v>
      </c>
    </row>
    <row r="789" spans="1:28" x14ac:dyDescent="0.25">
      <c r="A789">
        <v>4270</v>
      </c>
      <c r="B789" t="str">
        <f t="shared" si="122"/>
        <v>070438000</v>
      </c>
      <c r="C789" t="s">
        <v>2794</v>
      </c>
      <c r="D789">
        <v>5324</v>
      </c>
      <c r="E789" t="str">
        <f>"070438110"</f>
        <v>070438110</v>
      </c>
      <c r="F789" t="s">
        <v>2800</v>
      </c>
      <c r="G789" t="s">
        <v>42</v>
      </c>
      <c r="H789" t="s">
        <v>2801</v>
      </c>
      <c r="I789" t="s">
        <v>2802</v>
      </c>
      <c r="J789" t="s">
        <v>926</v>
      </c>
      <c r="K789" t="str">
        <f>"6026647197"</f>
        <v>6026647197</v>
      </c>
      <c r="L789" t="str">
        <f>""</f>
        <v/>
      </c>
      <c r="M789" t="str">
        <f>""</f>
        <v/>
      </c>
      <c r="N789" t="str">
        <f>""</f>
        <v/>
      </c>
      <c r="O789" t="s">
        <v>2803</v>
      </c>
      <c r="P789" t="s">
        <v>2804</v>
      </c>
      <c r="R789" t="s">
        <v>964</v>
      </c>
      <c r="S789" t="s">
        <v>36</v>
      </c>
      <c r="T789" t="str">
        <f>"85016"</f>
        <v>85016</v>
      </c>
      <c r="U789" t="str">
        <f>""</f>
        <v/>
      </c>
      <c r="V789" t="s">
        <v>2804</v>
      </c>
      <c r="X789" t="s">
        <v>964</v>
      </c>
      <c r="Y789" t="s">
        <v>36</v>
      </c>
      <c r="Z789" t="str">
        <f>"85016"</f>
        <v>85016</v>
      </c>
      <c r="AA789" t="str">
        <f>""</f>
        <v/>
      </c>
      <c r="AB789" t="s">
        <v>56</v>
      </c>
    </row>
    <row r="790" spans="1:28" x14ac:dyDescent="0.25">
      <c r="A790">
        <v>4270</v>
      </c>
      <c r="B790" t="str">
        <f t="shared" si="122"/>
        <v>070438000</v>
      </c>
      <c r="C790" t="s">
        <v>2794</v>
      </c>
      <c r="D790">
        <v>5325</v>
      </c>
      <c r="E790" t="str">
        <f>"070438120"</f>
        <v>070438120</v>
      </c>
      <c r="F790" t="s">
        <v>2805</v>
      </c>
      <c r="G790" t="s">
        <v>42</v>
      </c>
      <c r="H790" t="s">
        <v>383</v>
      </c>
      <c r="I790" t="s">
        <v>771</v>
      </c>
      <c r="J790" t="s">
        <v>195</v>
      </c>
      <c r="K790" t="str">
        <f>"6026647297"</f>
        <v>6026647297</v>
      </c>
      <c r="L790" t="str">
        <f>""</f>
        <v/>
      </c>
      <c r="M790" t="str">
        <f>""</f>
        <v/>
      </c>
      <c r="N790" t="str">
        <f>""</f>
        <v/>
      </c>
      <c r="O790" t="s">
        <v>2806</v>
      </c>
      <c r="P790" t="s">
        <v>2807</v>
      </c>
      <c r="R790" t="s">
        <v>964</v>
      </c>
      <c r="S790" t="s">
        <v>36</v>
      </c>
      <c r="T790" t="str">
        <f>"85016"</f>
        <v>85016</v>
      </c>
      <c r="U790" t="str">
        <f>""</f>
        <v/>
      </c>
      <c r="V790" t="s">
        <v>2807</v>
      </c>
      <c r="X790" t="s">
        <v>964</v>
      </c>
      <c r="Y790" t="s">
        <v>36</v>
      </c>
      <c r="Z790" t="str">
        <f>"85016"</f>
        <v>85016</v>
      </c>
      <c r="AA790" t="str">
        <f>""</f>
        <v/>
      </c>
      <c r="AB790" t="s">
        <v>56</v>
      </c>
    </row>
    <row r="791" spans="1:28" x14ac:dyDescent="0.25">
      <c r="A791">
        <v>4270</v>
      </c>
      <c r="B791" t="str">
        <f t="shared" si="122"/>
        <v>070438000</v>
      </c>
      <c r="C791" t="s">
        <v>2794</v>
      </c>
      <c r="D791">
        <v>5326</v>
      </c>
      <c r="E791" t="str">
        <f>"070438130"</f>
        <v>070438130</v>
      </c>
      <c r="F791" t="s">
        <v>2808</v>
      </c>
      <c r="G791" t="s">
        <v>42</v>
      </c>
      <c r="H791" t="s">
        <v>2809</v>
      </c>
      <c r="I791" t="s">
        <v>2810</v>
      </c>
      <c r="J791" t="s">
        <v>926</v>
      </c>
      <c r="K791" t="str">
        <f>"6026647397"</f>
        <v>6026647397</v>
      </c>
      <c r="L791" t="str">
        <f>""</f>
        <v/>
      </c>
      <c r="M791" t="str">
        <f>""</f>
        <v/>
      </c>
      <c r="N791" t="str">
        <f>""</f>
        <v/>
      </c>
      <c r="O791" t="s">
        <v>2811</v>
      </c>
      <c r="P791" t="s">
        <v>2812</v>
      </c>
      <c r="Q791" t="s">
        <v>2813</v>
      </c>
      <c r="R791" t="s">
        <v>964</v>
      </c>
      <c r="S791" t="s">
        <v>36</v>
      </c>
      <c r="T791" t="str">
        <f>"85020"</f>
        <v>85020</v>
      </c>
      <c r="U791" t="str">
        <f>""</f>
        <v/>
      </c>
      <c r="V791" t="s">
        <v>2812</v>
      </c>
      <c r="W791" t="s">
        <v>2813</v>
      </c>
      <c r="X791" t="s">
        <v>964</v>
      </c>
      <c r="Y791" t="s">
        <v>36</v>
      </c>
      <c r="Z791" t="str">
        <f>"85020"</f>
        <v>85020</v>
      </c>
      <c r="AA791" t="str">
        <f>""</f>
        <v/>
      </c>
      <c r="AB791" t="s">
        <v>56</v>
      </c>
    </row>
    <row r="792" spans="1:28" x14ac:dyDescent="0.25">
      <c r="A792">
        <v>4270</v>
      </c>
      <c r="B792" t="str">
        <f t="shared" si="122"/>
        <v>070438000</v>
      </c>
      <c r="C792" t="s">
        <v>2794</v>
      </c>
      <c r="D792">
        <v>5327</v>
      </c>
      <c r="E792" t="str">
        <f>"070438140"</f>
        <v>070438140</v>
      </c>
      <c r="F792" t="s">
        <v>2814</v>
      </c>
      <c r="G792" t="s">
        <v>42</v>
      </c>
      <c r="H792" t="s">
        <v>1639</v>
      </c>
      <c r="I792" t="s">
        <v>2815</v>
      </c>
      <c r="J792" t="s">
        <v>926</v>
      </c>
      <c r="K792" t="str">
        <f>"6026647497"</f>
        <v>6026647497</v>
      </c>
      <c r="L792" t="str">
        <f>""</f>
        <v/>
      </c>
      <c r="M792" t="str">
        <f>""</f>
        <v/>
      </c>
      <c r="N792" t="str">
        <f>""</f>
        <v/>
      </c>
      <c r="O792" t="s">
        <v>2816</v>
      </c>
      <c r="P792" t="s">
        <v>2817</v>
      </c>
      <c r="Q792" t="s">
        <v>2818</v>
      </c>
      <c r="R792" t="s">
        <v>964</v>
      </c>
      <c r="S792" t="s">
        <v>36</v>
      </c>
      <c r="T792" t="str">
        <f>"85014"</f>
        <v>85014</v>
      </c>
      <c r="U792" t="str">
        <f>""</f>
        <v/>
      </c>
      <c r="V792" t="s">
        <v>2817</v>
      </c>
      <c r="W792" t="s">
        <v>2818</v>
      </c>
      <c r="X792" t="s">
        <v>964</v>
      </c>
      <c r="Y792" t="s">
        <v>36</v>
      </c>
      <c r="Z792" t="str">
        <f>"85014"</f>
        <v>85014</v>
      </c>
      <c r="AA792" t="str">
        <f>""</f>
        <v/>
      </c>
      <c r="AB792" t="s">
        <v>56</v>
      </c>
    </row>
    <row r="793" spans="1:28" x14ac:dyDescent="0.25">
      <c r="A793">
        <v>4270</v>
      </c>
      <c r="B793" t="str">
        <f t="shared" si="122"/>
        <v>070438000</v>
      </c>
      <c r="C793" t="s">
        <v>2794</v>
      </c>
      <c r="D793">
        <v>5328</v>
      </c>
      <c r="E793" t="str">
        <f>"070438150"</f>
        <v>070438150</v>
      </c>
      <c r="F793" t="s">
        <v>2819</v>
      </c>
      <c r="G793" t="s">
        <v>42</v>
      </c>
      <c r="H793" t="s">
        <v>2820</v>
      </c>
      <c r="I793" t="s">
        <v>2821</v>
      </c>
      <c r="J793" t="s">
        <v>926</v>
      </c>
      <c r="K793" t="str">
        <f>"6026647597"</f>
        <v>6026647597</v>
      </c>
      <c r="L793" t="str">
        <f>""</f>
        <v/>
      </c>
      <c r="M793" t="str">
        <f>""</f>
        <v/>
      </c>
      <c r="N793" t="str">
        <f>""</f>
        <v/>
      </c>
      <c r="O793" t="s">
        <v>2822</v>
      </c>
      <c r="P793" t="s">
        <v>2823</v>
      </c>
      <c r="Q793" t="s">
        <v>2824</v>
      </c>
      <c r="R793" t="s">
        <v>964</v>
      </c>
      <c r="S793" t="s">
        <v>36</v>
      </c>
      <c r="T793" t="str">
        <f>"85014"</f>
        <v>85014</v>
      </c>
      <c r="U793" t="str">
        <f>""</f>
        <v/>
      </c>
      <c r="V793" t="s">
        <v>2823</v>
      </c>
      <c r="W793" t="s">
        <v>2824</v>
      </c>
      <c r="X793" t="s">
        <v>964</v>
      </c>
      <c r="Y793" t="s">
        <v>36</v>
      </c>
      <c r="Z793" t="str">
        <f>"85014"</f>
        <v>85014</v>
      </c>
      <c r="AA793" t="str">
        <f>""</f>
        <v/>
      </c>
      <c r="AB793" t="s">
        <v>56</v>
      </c>
    </row>
    <row r="794" spans="1:28" x14ac:dyDescent="0.25">
      <c r="A794">
        <v>4270</v>
      </c>
      <c r="B794" t="str">
        <f t="shared" si="122"/>
        <v>070438000</v>
      </c>
      <c r="C794" t="s">
        <v>2794</v>
      </c>
      <c r="D794">
        <v>5329</v>
      </c>
      <c r="E794" t="str">
        <f>"070438160"</f>
        <v>070438160</v>
      </c>
      <c r="F794" t="s">
        <v>2825</v>
      </c>
      <c r="G794" t="s">
        <v>42</v>
      </c>
      <c r="H794" t="s">
        <v>1639</v>
      </c>
      <c r="I794" t="s">
        <v>2826</v>
      </c>
      <c r="J794" t="s">
        <v>195</v>
      </c>
      <c r="K794" t="str">
        <f>"6026647697"</f>
        <v>6026647697</v>
      </c>
      <c r="L794" t="str">
        <f>""</f>
        <v/>
      </c>
      <c r="M794" t="str">
        <f>""</f>
        <v/>
      </c>
      <c r="N794" t="str">
        <f>""</f>
        <v/>
      </c>
      <c r="O794" t="s">
        <v>2827</v>
      </c>
      <c r="P794" t="s">
        <v>2828</v>
      </c>
      <c r="Q794" t="s">
        <v>2829</v>
      </c>
      <c r="R794" t="s">
        <v>964</v>
      </c>
      <c r="S794" t="s">
        <v>36</v>
      </c>
      <c r="T794" t="str">
        <f>"85013"</f>
        <v>85013</v>
      </c>
      <c r="U794" t="str">
        <f>""</f>
        <v/>
      </c>
      <c r="V794" t="s">
        <v>2828</v>
      </c>
      <c r="W794" t="s">
        <v>2829</v>
      </c>
      <c r="X794" t="s">
        <v>964</v>
      </c>
      <c r="Y794" t="s">
        <v>36</v>
      </c>
      <c r="Z794" t="str">
        <f>"85013"</f>
        <v>85013</v>
      </c>
      <c r="AA794" t="str">
        <f>""</f>
        <v/>
      </c>
      <c r="AB794" t="s">
        <v>56</v>
      </c>
    </row>
    <row r="795" spans="1:28" x14ac:dyDescent="0.25">
      <c r="A795">
        <v>4270</v>
      </c>
      <c r="B795" t="str">
        <f t="shared" si="122"/>
        <v>070438000</v>
      </c>
      <c r="C795" t="s">
        <v>2794</v>
      </c>
      <c r="D795">
        <v>5330</v>
      </c>
      <c r="E795" t="str">
        <f>"070438180"</f>
        <v>070438180</v>
      </c>
      <c r="F795" t="s">
        <v>2830</v>
      </c>
      <c r="G795" t="s">
        <v>42</v>
      </c>
      <c r="H795" t="s">
        <v>2831</v>
      </c>
      <c r="I795" t="s">
        <v>2832</v>
      </c>
      <c r="J795" t="s">
        <v>926</v>
      </c>
      <c r="K795" t="str">
        <f>"6026647897"</f>
        <v>6026647897</v>
      </c>
      <c r="L795" t="str">
        <f>""</f>
        <v/>
      </c>
      <c r="M795" t="str">
        <f>""</f>
        <v/>
      </c>
      <c r="N795" t="str">
        <f>""</f>
        <v/>
      </c>
      <c r="O795" t="s">
        <v>2833</v>
      </c>
      <c r="P795" t="s">
        <v>2834</v>
      </c>
      <c r="Q795" t="s">
        <v>2835</v>
      </c>
      <c r="R795" t="s">
        <v>964</v>
      </c>
      <c r="S795" t="s">
        <v>36</v>
      </c>
      <c r="T795" t="str">
        <f>"85020"</f>
        <v>85020</v>
      </c>
      <c r="U795" t="str">
        <f>""</f>
        <v/>
      </c>
      <c r="V795" t="s">
        <v>2834</v>
      </c>
      <c r="W795" t="s">
        <v>2835</v>
      </c>
      <c r="X795" t="s">
        <v>964</v>
      </c>
      <c r="Y795" t="s">
        <v>36</v>
      </c>
      <c r="Z795" t="str">
        <f>"85020"</f>
        <v>85020</v>
      </c>
      <c r="AA795" t="str">
        <f>""</f>
        <v/>
      </c>
      <c r="AB795" t="s">
        <v>56</v>
      </c>
    </row>
    <row r="796" spans="1:28" x14ac:dyDescent="0.25">
      <c r="A796">
        <v>4270</v>
      </c>
      <c r="B796" t="str">
        <f t="shared" si="122"/>
        <v>070438000</v>
      </c>
      <c r="C796" t="s">
        <v>2794</v>
      </c>
      <c r="D796">
        <v>89622</v>
      </c>
      <c r="E796" t="str">
        <f>"070438111"</f>
        <v>070438111</v>
      </c>
      <c r="F796" t="s">
        <v>2836</v>
      </c>
      <c r="G796" t="s">
        <v>42</v>
      </c>
      <c r="H796" t="s">
        <v>1618</v>
      </c>
      <c r="I796" t="s">
        <v>2837</v>
      </c>
      <c r="J796" t="s">
        <v>926</v>
      </c>
      <c r="K796" t="str">
        <f>"6027454097"</f>
        <v>6027454097</v>
      </c>
      <c r="L796" t="str">
        <f>""</f>
        <v/>
      </c>
      <c r="M796" t="str">
        <f>""</f>
        <v/>
      </c>
      <c r="N796" t="str">
        <f>""</f>
        <v/>
      </c>
      <c r="O796" t="s">
        <v>2838</v>
      </c>
      <c r="P796" t="s">
        <v>2839</v>
      </c>
      <c r="Q796" t="s">
        <v>2840</v>
      </c>
      <c r="R796" t="s">
        <v>964</v>
      </c>
      <c r="S796" t="s">
        <v>36</v>
      </c>
      <c r="T796" t="str">
        <f>"85014"</f>
        <v>85014</v>
      </c>
      <c r="U796" t="str">
        <f>""</f>
        <v/>
      </c>
      <c r="V796" t="s">
        <v>2839</v>
      </c>
      <c r="W796" t="s">
        <v>2840</v>
      </c>
      <c r="X796" t="s">
        <v>964</v>
      </c>
      <c r="Y796" t="s">
        <v>36</v>
      </c>
      <c r="Z796" t="str">
        <f>"85014"</f>
        <v>85014</v>
      </c>
      <c r="AA796" t="str">
        <f>""</f>
        <v/>
      </c>
      <c r="AB796" t="s">
        <v>56</v>
      </c>
    </row>
    <row r="797" spans="1:28" x14ac:dyDescent="0.25">
      <c r="A797">
        <v>4270</v>
      </c>
      <c r="B797" t="str">
        <f t="shared" si="122"/>
        <v>070438000</v>
      </c>
      <c r="C797" t="s">
        <v>2794</v>
      </c>
      <c r="D797">
        <v>92605</v>
      </c>
      <c r="E797" t="str">
        <f>"078219001"</f>
        <v>078219001</v>
      </c>
      <c r="F797" t="s">
        <v>2841</v>
      </c>
      <c r="G797" t="s">
        <v>42</v>
      </c>
      <c r="H797" t="s">
        <v>2820</v>
      </c>
      <c r="I797" t="s">
        <v>2821</v>
      </c>
      <c r="J797" t="s">
        <v>195</v>
      </c>
      <c r="K797" t="str">
        <f>"6026647597"</f>
        <v>6026647597</v>
      </c>
      <c r="L797" t="str">
        <f>""</f>
        <v/>
      </c>
      <c r="M797" t="str">
        <f>""</f>
        <v/>
      </c>
      <c r="N797" t="str">
        <f>""</f>
        <v/>
      </c>
      <c r="O797" t="s">
        <v>2822</v>
      </c>
      <c r="P797" t="s">
        <v>2842</v>
      </c>
      <c r="R797" t="s">
        <v>2843</v>
      </c>
      <c r="S797" t="s">
        <v>36</v>
      </c>
      <c r="T797" t="str">
        <f>"85014"</f>
        <v>85014</v>
      </c>
      <c r="U797" t="str">
        <f>""</f>
        <v/>
      </c>
      <c r="V797" t="s">
        <v>2842</v>
      </c>
      <c r="X797" t="s">
        <v>2843</v>
      </c>
      <c r="Y797" t="s">
        <v>36</v>
      </c>
      <c r="Z797" t="str">
        <f>"85014"</f>
        <v>85014</v>
      </c>
      <c r="AA797" t="str">
        <f>""</f>
        <v/>
      </c>
      <c r="AB797" t="s">
        <v>56</v>
      </c>
    </row>
    <row r="798" spans="1:28" x14ac:dyDescent="0.25">
      <c r="A798">
        <v>4271</v>
      </c>
      <c r="B798" t="str">
        <f t="shared" ref="B798:B816" si="123">"070440000"</f>
        <v>070440000</v>
      </c>
      <c r="C798" t="s">
        <v>2844</v>
      </c>
      <c r="D798">
        <v>0</v>
      </c>
      <c r="E798" t="str">
        <f>""</f>
        <v/>
      </c>
      <c r="G798" t="s">
        <v>29</v>
      </c>
      <c r="H798" t="s">
        <v>2845</v>
      </c>
      <c r="I798" t="s">
        <v>2846</v>
      </c>
      <c r="J798" t="s">
        <v>1162</v>
      </c>
      <c r="K798" t="str">
        <f>"6232376244"</f>
        <v>6232376244</v>
      </c>
      <c r="L798" t="str">
        <f>""</f>
        <v/>
      </c>
      <c r="M798" t="str">
        <f>""</f>
        <v/>
      </c>
      <c r="N798" t="str">
        <f>""</f>
        <v/>
      </c>
      <c r="O798" t="s">
        <v>2847</v>
      </c>
      <c r="P798" t="s">
        <v>2848</v>
      </c>
      <c r="R798" t="s">
        <v>1173</v>
      </c>
      <c r="S798" t="s">
        <v>36</v>
      </c>
      <c r="T798" t="str">
        <f t="shared" ref="T798:T812" si="124">"85303"</f>
        <v>85303</v>
      </c>
      <c r="U798" t="str">
        <f>""</f>
        <v/>
      </c>
      <c r="V798" t="s">
        <v>2848</v>
      </c>
      <c r="X798" t="s">
        <v>1173</v>
      </c>
      <c r="Y798" t="s">
        <v>36</v>
      </c>
      <c r="Z798" t="str">
        <f>"85303"</f>
        <v>85303</v>
      </c>
      <c r="AA798" t="str">
        <f>""</f>
        <v/>
      </c>
      <c r="AB798" t="s">
        <v>86</v>
      </c>
    </row>
    <row r="799" spans="1:28" x14ac:dyDescent="0.25">
      <c r="A799">
        <v>4271</v>
      </c>
      <c r="B799" t="str">
        <f t="shared" si="123"/>
        <v>070440000</v>
      </c>
      <c r="C799" t="s">
        <v>2844</v>
      </c>
      <c r="D799">
        <v>5332</v>
      </c>
      <c r="E799" t="str">
        <f>"070440101"</f>
        <v>070440101</v>
      </c>
      <c r="F799" t="s">
        <v>2849</v>
      </c>
      <c r="G799" t="s">
        <v>42</v>
      </c>
      <c r="H799" t="s">
        <v>2850</v>
      </c>
      <c r="I799" t="s">
        <v>2851</v>
      </c>
      <c r="J799" t="s">
        <v>2852</v>
      </c>
      <c r="K799" t="str">
        <f t="shared" ref="K799:K816" si="125">"6232376246"</f>
        <v>6232376246</v>
      </c>
      <c r="L799" t="str">
        <f>""</f>
        <v/>
      </c>
      <c r="M799" t="str">
        <f t="shared" ref="M799:M816" si="126">"6232376273"</f>
        <v>6232376273</v>
      </c>
      <c r="N799" t="str">
        <f>""</f>
        <v/>
      </c>
      <c r="O799" t="s">
        <v>2853</v>
      </c>
      <c r="P799" t="s">
        <v>2848</v>
      </c>
      <c r="R799" t="s">
        <v>1173</v>
      </c>
      <c r="S799" t="s">
        <v>36</v>
      </c>
      <c r="T799" t="str">
        <f t="shared" si="124"/>
        <v>85303</v>
      </c>
      <c r="U799" t="str">
        <f>""</f>
        <v/>
      </c>
      <c r="V799" t="s">
        <v>2854</v>
      </c>
      <c r="X799" t="s">
        <v>1173</v>
      </c>
      <c r="Y799" t="s">
        <v>36</v>
      </c>
      <c r="Z799" t="str">
        <f t="shared" ref="Z799:Z805" si="127">"85301"</f>
        <v>85301</v>
      </c>
      <c r="AA799" t="str">
        <f>""</f>
        <v/>
      </c>
      <c r="AB799" t="s">
        <v>86</v>
      </c>
    </row>
    <row r="800" spans="1:28" x14ac:dyDescent="0.25">
      <c r="A800">
        <v>4271</v>
      </c>
      <c r="B800" t="str">
        <f t="shared" si="123"/>
        <v>070440000</v>
      </c>
      <c r="C800" t="s">
        <v>2844</v>
      </c>
      <c r="D800">
        <v>5333</v>
      </c>
      <c r="E800" t="str">
        <f>"070440102"</f>
        <v>070440102</v>
      </c>
      <c r="F800" t="s">
        <v>2855</v>
      </c>
      <c r="G800" t="s">
        <v>42</v>
      </c>
      <c r="H800" t="s">
        <v>2850</v>
      </c>
      <c r="I800" t="s">
        <v>2851</v>
      </c>
      <c r="J800" t="s">
        <v>2852</v>
      </c>
      <c r="K800" t="str">
        <f t="shared" si="125"/>
        <v>6232376246</v>
      </c>
      <c r="L800" t="str">
        <f>""</f>
        <v/>
      </c>
      <c r="M800" t="str">
        <f t="shared" si="126"/>
        <v>6232376273</v>
      </c>
      <c r="N800" t="str">
        <f>""</f>
        <v/>
      </c>
      <c r="O800" t="s">
        <v>2853</v>
      </c>
      <c r="P800" t="s">
        <v>2848</v>
      </c>
      <c r="R800" t="s">
        <v>1173</v>
      </c>
      <c r="S800" t="s">
        <v>36</v>
      </c>
      <c r="T800" t="str">
        <f t="shared" si="124"/>
        <v>85303</v>
      </c>
      <c r="U800" t="str">
        <f>""</f>
        <v/>
      </c>
      <c r="V800" t="s">
        <v>2856</v>
      </c>
      <c r="X800" t="s">
        <v>1173</v>
      </c>
      <c r="Y800" t="s">
        <v>36</v>
      </c>
      <c r="Z800" t="str">
        <f t="shared" si="127"/>
        <v>85301</v>
      </c>
      <c r="AA800" t="str">
        <f>""</f>
        <v/>
      </c>
      <c r="AB800" t="s">
        <v>86</v>
      </c>
    </row>
    <row r="801" spans="1:28" x14ac:dyDescent="0.25">
      <c r="A801">
        <v>4271</v>
      </c>
      <c r="B801" t="str">
        <f t="shared" si="123"/>
        <v>070440000</v>
      </c>
      <c r="C801" t="s">
        <v>2844</v>
      </c>
      <c r="D801">
        <v>5334</v>
      </c>
      <c r="E801" t="str">
        <f>"070440103"</f>
        <v>070440103</v>
      </c>
      <c r="F801" t="s">
        <v>2857</v>
      </c>
      <c r="G801" t="s">
        <v>42</v>
      </c>
      <c r="H801" t="s">
        <v>2850</v>
      </c>
      <c r="I801" t="s">
        <v>2851</v>
      </c>
      <c r="J801" t="s">
        <v>2852</v>
      </c>
      <c r="K801" t="str">
        <f t="shared" si="125"/>
        <v>6232376246</v>
      </c>
      <c r="L801" t="str">
        <f>""</f>
        <v/>
      </c>
      <c r="M801" t="str">
        <f t="shared" si="126"/>
        <v>6232376273</v>
      </c>
      <c r="N801" t="str">
        <f>""</f>
        <v/>
      </c>
      <c r="O801" t="s">
        <v>2853</v>
      </c>
      <c r="P801" t="s">
        <v>2848</v>
      </c>
      <c r="R801" t="s">
        <v>1173</v>
      </c>
      <c r="S801" t="s">
        <v>36</v>
      </c>
      <c r="T801" t="str">
        <f t="shared" si="124"/>
        <v>85303</v>
      </c>
      <c r="U801" t="str">
        <f>""</f>
        <v/>
      </c>
      <c r="V801" t="s">
        <v>2858</v>
      </c>
      <c r="X801" t="s">
        <v>1173</v>
      </c>
      <c r="Y801" t="s">
        <v>36</v>
      </c>
      <c r="Z801" t="str">
        <f t="shared" si="127"/>
        <v>85301</v>
      </c>
      <c r="AA801" t="str">
        <f>""</f>
        <v/>
      </c>
      <c r="AB801" t="s">
        <v>86</v>
      </c>
    </row>
    <row r="802" spans="1:28" x14ac:dyDescent="0.25">
      <c r="A802">
        <v>4271</v>
      </c>
      <c r="B802" t="str">
        <f t="shared" si="123"/>
        <v>070440000</v>
      </c>
      <c r="C802" t="s">
        <v>2844</v>
      </c>
      <c r="D802">
        <v>5335</v>
      </c>
      <c r="E802" t="str">
        <f>"070440104"</f>
        <v>070440104</v>
      </c>
      <c r="F802" t="s">
        <v>2859</v>
      </c>
      <c r="G802" t="s">
        <v>42</v>
      </c>
      <c r="H802" t="s">
        <v>2850</v>
      </c>
      <c r="I802" t="s">
        <v>2851</v>
      </c>
      <c r="J802" t="s">
        <v>2852</v>
      </c>
      <c r="K802" t="str">
        <f t="shared" si="125"/>
        <v>6232376246</v>
      </c>
      <c r="L802" t="str">
        <f>""</f>
        <v/>
      </c>
      <c r="M802" t="str">
        <f t="shared" si="126"/>
        <v>6232376273</v>
      </c>
      <c r="N802" t="str">
        <f>""</f>
        <v/>
      </c>
      <c r="O802" t="s">
        <v>2853</v>
      </c>
      <c r="P802" t="s">
        <v>2848</v>
      </c>
      <c r="R802" t="s">
        <v>1173</v>
      </c>
      <c r="S802" t="s">
        <v>36</v>
      </c>
      <c r="T802" t="str">
        <f t="shared" si="124"/>
        <v>85303</v>
      </c>
      <c r="U802" t="str">
        <f>""</f>
        <v/>
      </c>
      <c r="V802" t="s">
        <v>2860</v>
      </c>
      <c r="X802" t="s">
        <v>1173</v>
      </c>
      <c r="Y802" t="s">
        <v>36</v>
      </c>
      <c r="Z802" t="str">
        <f t="shared" si="127"/>
        <v>85301</v>
      </c>
      <c r="AA802" t="str">
        <f>""</f>
        <v/>
      </c>
      <c r="AB802" t="s">
        <v>86</v>
      </c>
    </row>
    <row r="803" spans="1:28" x14ac:dyDescent="0.25">
      <c r="A803">
        <v>4271</v>
      </c>
      <c r="B803" t="str">
        <f t="shared" si="123"/>
        <v>070440000</v>
      </c>
      <c r="C803" t="s">
        <v>2844</v>
      </c>
      <c r="D803">
        <v>5336</v>
      </c>
      <c r="E803" t="str">
        <f>"070440105"</f>
        <v>070440105</v>
      </c>
      <c r="F803" t="s">
        <v>2861</v>
      </c>
      <c r="G803" t="s">
        <v>42</v>
      </c>
      <c r="H803" t="s">
        <v>2850</v>
      </c>
      <c r="I803" t="s">
        <v>2851</v>
      </c>
      <c r="J803" t="s">
        <v>2852</v>
      </c>
      <c r="K803" t="str">
        <f t="shared" si="125"/>
        <v>6232376246</v>
      </c>
      <c r="L803" t="str">
        <f>""</f>
        <v/>
      </c>
      <c r="M803" t="str">
        <f t="shared" si="126"/>
        <v>6232376273</v>
      </c>
      <c r="N803" t="str">
        <f>""</f>
        <v/>
      </c>
      <c r="O803" t="s">
        <v>2853</v>
      </c>
      <c r="P803" t="s">
        <v>2848</v>
      </c>
      <c r="R803" t="s">
        <v>1173</v>
      </c>
      <c r="S803" t="s">
        <v>36</v>
      </c>
      <c r="T803" t="str">
        <f t="shared" si="124"/>
        <v>85303</v>
      </c>
      <c r="U803" t="str">
        <f>""</f>
        <v/>
      </c>
      <c r="V803" t="s">
        <v>2862</v>
      </c>
      <c r="X803" t="s">
        <v>1173</v>
      </c>
      <c r="Y803" t="s">
        <v>36</v>
      </c>
      <c r="Z803" t="str">
        <f t="shared" si="127"/>
        <v>85301</v>
      </c>
      <c r="AA803" t="str">
        <f>""</f>
        <v/>
      </c>
      <c r="AB803" t="s">
        <v>86</v>
      </c>
    </row>
    <row r="804" spans="1:28" x14ac:dyDescent="0.25">
      <c r="A804">
        <v>4271</v>
      </c>
      <c r="B804" t="str">
        <f t="shared" si="123"/>
        <v>070440000</v>
      </c>
      <c r="C804" t="s">
        <v>2844</v>
      </c>
      <c r="D804">
        <v>5337</v>
      </c>
      <c r="E804" t="str">
        <f>"070440106"</f>
        <v>070440106</v>
      </c>
      <c r="F804" t="s">
        <v>2863</v>
      </c>
      <c r="G804" t="s">
        <v>42</v>
      </c>
      <c r="H804" t="s">
        <v>2850</v>
      </c>
      <c r="I804" t="s">
        <v>2851</v>
      </c>
      <c r="J804" t="s">
        <v>2852</v>
      </c>
      <c r="K804" t="str">
        <f t="shared" si="125"/>
        <v>6232376246</v>
      </c>
      <c r="L804" t="str">
        <f>""</f>
        <v/>
      </c>
      <c r="M804" t="str">
        <f t="shared" si="126"/>
        <v>6232376273</v>
      </c>
      <c r="N804" t="str">
        <f>""</f>
        <v/>
      </c>
      <c r="O804" t="s">
        <v>2853</v>
      </c>
      <c r="P804" t="s">
        <v>2848</v>
      </c>
      <c r="R804" t="s">
        <v>1173</v>
      </c>
      <c r="S804" t="s">
        <v>36</v>
      </c>
      <c r="T804" t="str">
        <f t="shared" si="124"/>
        <v>85303</v>
      </c>
      <c r="U804" t="str">
        <f>""</f>
        <v/>
      </c>
      <c r="V804" t="s">
        <v>2864</v>
      </c>
      <c r="X804" t="s">
        <v>1173</v>
      </c>
      <c r="Y804" t="s">
        <v>36</v>
      </c>
      <c r="Z804" t="str">
        <f t="shared" si="127"/>
        <v>85301</v>
      </c>
      <c r="AA804" t="str">
        <f>""</f>
        <v/>
      </c>
      <c r="AB804" t="s">
        <v>86</v>
      </c>
    </row>
    <row r="805" spans="1:28" x14ac:dyDescent="0.25">
      <c r="A805">
        <v>4271</v>
      </c>
      <c r="B805" t="str">
        <f t="shared" si="123"/>
        <v>070440000</v>
      </c>
      <c r="C805" t="s">
        <v>2844</v>
      </c>
      <c r="D805">
        <v>5338</v>
      </c>
      <c r="E805" t="str">
        <f>"070440107"</f>
        <v>070440107</v>
      </c>
      <c r="F805" t="s">
        <v>2865</v>
      </c>
      <c r="G805" t="s">
        <v>42</v>
      </c>
      <c r="H805" t="s">
        <v>2850</v>
      </c>
      <c r="I805" t="s">
        <v>2851</v>
      </c>
      <c r="J805" t="s">
        <v>2852</v>
      </c>
      <c r="K805" t="str">
        <f t="shared" si="125"/>
        <v>6232376246</v>
      </c>
      <c r="L805" t="str">
        <f>""</f>
        <v/>
      </c>
      <c r="M805" t="str">
        <f t="shared" si="126"/>
        <v>6232376273</v>
      </c>
      <c r="N805" t="str">
        <f>""</f>
        <v/>
      </c>
      <c r="O805" t="s">
        <v>2853</v>
      </c>
      <c r="P805" t="s">
        <v>2848</v>
      </c>
      <c r="R805" t="s">
        <v>1173</v>
      </c>
      <c r="S805" t="s">
        <v>36</v>
      </c>
      <c r="T805" t="str">
        <f t="shared" si="124"/>
        <v>85303</v>
      </c>
      <c r="U805" t="str">
        <f>""</f>
        <v/>
      </c>
      <c r="V805" t="s">
        <v>2866</v>
      </c>
      <c r="X805" t="s">
        <v>1173</v>
      </c>
      <c r="Y805" t="s">
        <v>36</v>
      </c>
      <c r="Z805" t="str">
        <f t="shared" si="127"/>
        <v>85301</v>
      </c>
      <c r="AA805" t="str">
        <f>""</f>
        <v/>
      </c>
      <c r="AB805" t="s">
        <v>86</v>
      </c>
    </row>
    <row r="806" spans="1:28" x14ac:dyDescent="0.25">
      <c r="A806">
        <v>4271</v>
      </c>
      <c r="B806" t="str">
        <f t="shared" si="123"/>
        <v>070440000</v>
      </c>
      <c r="C806" t="s">
        <v>2844</v>
      </c>
      <c r="D806">
        <v>5339</v>
      </c>
      <c r="E806" t="str">
        <f>"070440108"</f>
        <v>070440108</v>
      </c>
      <c r="F806" t="s">
        <v>2867</v>
      </c>
      <c r="G806" t="s">
        <v>42</v>
      </c>
      <c r="H806" t="s">
        <v>2850</v>
      </c>
      <c r="I806" t="s">
        <v>2851</v>
      </c>
      <c r="J806" t="s">
        <v>2852</v>
      </c>
      <c r="K806" t="str">
        <f t="shared" si="125"/>
        <v>6232376246</v>
      </c>
      <c r="L806" t="str">
        <f>""</f>
        <v/>
      </c>
      <c r="M806" t="str">
        <f t="shared" si="126"/>
        <v>6232376273</v>
      </c>
      <c r="N806" t="str">
        <f>""</f>
        <v/>
      </c>
      <c r="O806" t="s">
        <v>2853</v>
      </c>
      <c r="P806" t="s">
        <v>2848</v>
      </c>
      <c r="R806" t="s">
        <v>1173</v>
      </c>
      <c r="S806" t="s">
        <v>36</v>
      </c>
      <c r="T806" t="str">
        <f t="shared" si="124"/>
        <v>85303</v>
      </c>
      <c r="U806" t="str">
        <f>""</f>
        <v/>
      </c>
      <c r="V806" t="s">
        <v>2868</v>
      </c>
      <c r="X806" t="s">
        <v>1173</v>
      </c>
      <c r="Y806" t="s">
        <v>36</v>
      </c>
      <c r="Z806" t="str">
        <f>"85302"</f>
        <v>85302</v>
      </c>
      <c r="AA806" t="str">
        <f>""</f>
        <v/>
      </c>
      <c r="AB806" t="s">
        <v>86</v>
      </c>
    </row>
    <row r="807" spans="1:28" x14ac:dyDescent="0.25">
      <c r="A807">
        <v>4271</v>
      </c>
      <c r="B807" t="str">
        <f t="shared" si="123"/>
        <v>070440000</v>
      </c>
      <c r="C807" t="s">
        <v>2844</v>
      </c>
      <c r="D807">
        <v>5340</v>
      </c>
      <c r="E807" t="str">
        <f>"070440109"</f>
        <v>070440109</v>
      </c>
      <c r="F807" t="s">
        <v>2869</v>
      </c>
      <c r="G807" t="s">
        <v>42</v>
      </c>
      <c r="H807" t="s">
        <v>2850</v>
      </c>
      <c r="I807" t="s">
        <v>2851</v>
      </c>
      <c r="J807" t="s">
        <v>2852</v>
      </c>
      <c r="K807" t="str">
        <f t="shared" si="125"/>
        <v>6232376246</v>
      </c>
      <c r="L807" t="str">
        <f>""</f>
        <v/>
      </c>
      <c r="M807" t="str">
        <f t="shared" si="126"/>
        <v>6232376273</v>
      </c>
      <c r="N807" t="str">
        <f>""</f>
        <v/>
      </c>
      <c r="O807" t="s">
        <v>2853</v>
      </c>
      <c r="P807" t="s">
        <v>2848</v>
      </c>
      <c r="R807" t="s">
        <v>1173</v>
      </c>
      <c r="S807" t="s">
        <v>36</v>
      </c>
      <c r="T807" t="str">
        <f t="shared" si="124"/>
        <v>85303</v>
      </c>
      <c r="U807" t="str">
        <f>""</f>
        <v/>
      </c>
      <c r="V807" t="s">
        <v>2870</v>
      </c>
      <c r="X807" t="s">
        <v>1173</v>
      </c>
      <c r="Y807" t="s">
        <v>36</v>
      </c>
      <c r="Z807" t="str">
        <f>"85303"</f>
        <v>85303</v>
      </c>
      <c r="AA807" t="str">
        <f>""</f>
        <v/>
      </c>
      <c r="AB807" t="s">
        <v>86</v>
      </c>
    </row>
    <row r="808" spans="1:28" x14ac:dyDescent="0.25">
      <c r="A808">
        <v>4271</v>
      </c>
      <c r="B808" t="str">
        <f t="shared" si="123"/>
        <v>070440000</v>
      </c>
      <c r="C808" t="s">
        <v>2844</v>
      </c>
      <c r="D808">
        <v>5341</v>
      </c>
      <c r="E808" t="str">
        <f>"070440110"</f>
        <v>070440110</v>
      </c>
      <c r="F808" t="s">
        <v>2871</v>
      </c>
      <c r="G808" t="s">
        <v>42</v>
      </c>
      <c r="H808" t="s">
        <v>2850</v>
      </c>
      <c r="I808" t="s">
        <v>2851</v>
      </c>
      <c r="J808" t="s">
        <v>2852</v>
      </c>
      <c r="K808" t="str">
        <f t="shared" si="125"/>
        <v>6232376246</v>
      </c>
      <c r="L808" t="str">
        <f>""</f>
        <v/>
      </c>
      <c r="M808" t="str">
        <f t="shared" si="126"/>
        <v>6232376273</v>
      </c>
      <c r="N808" t="str">
        <f>""</f>
        <v/>
      </c>
      <c r="O808" t="s">
        <v>2853</v>
      </c>
      <c r="P808" t="s">
        <v>2848</v>
      </c>
      <c r="R808" t="s">
        <v>1173</v>
      </c>
      <c r="S808" t="s">
        <v>36</v>
      </c>
      <c r="T808" t="str">
        <f t="shared" si="124"/>
        <v>85303</v>
      </c>
      <c r="U808" t="str">
        <f>""</f>
        <v/>
      </c>
      <c r="V808" t="s">
        <v>2872</v>
      </c>
      <c r="X808" t="s">
        <v>1173</v>
      </c>
      <c r="Y808" t="s">
        <v>36</v>
      </c>
      <c r="Z808" t="str">
        <f>"85302"</f>
        <v>85302</v>
      </c>
      <c r="AA808" t="str">
        <f>""</f>
        <v/>
      </c>
      <c r="AB808" t="s">
        <v>86</v>
      </c>
    </row>
    <row r="809" spans="1:28" x14ac:dyDescent="0.25">
      <c r="A809">
        <v>4271</v>
      </c>
      <c r="B809" t="str">
        <f t="shared" si="123"/>
        <v>070440000</v>
      </c>
      <c r="C809" t="s">
        <v>2844</v>
      </c>
      <c r="D809">
        <v>5342</v>
      </c>
      <c r="E809" t="str">
        <f>"070440111"</f>
        <v>070440111</v>
      </c>
      <c r="F809" t="s">
        <v>2873</v>
      </c>
      <c r="G809" t="s">
        <v>42</v>
      </c>
      <c r="H809" t="s">
        <v>2850</v>
      </c>
      <c r="I809" t="s">
        <v>2851</v>
      </c>
      <c r="J809" t="s">
        <v>2852</v>
      </c>
      <c r="K809" t="str">
        <f t="shared" si="125"/>
        <v>6232376246</v>
      </c>
      <c r="L809" t="str">
        <f>""</f>
        <v/>
      </c>
      <c r="M809" t="str">
        <f t="shared" si="126"/>
        <v>6232376273</v>
      </c>
      <c r="N809" t="str">
        <f>""</f>
        <v/>
      </c>
      <c r="O809" t="s">
        <v>2853</v>
      </c>
      <c r="P809" t="s">
        <v>2848</v>
      </c>
      <c r="R809" t="s">
        <v>1173</v>
      </c>
      <c r="S809" t="s">
        <v>36</v>
      </c>
      <c r="T809" t="str">
        <f t="shared" si="124"/>
        <v>85303</v>
      </c>
      <c r="U809" t="str">
        <f>""</f>
        <v/>
      </c>
      <c r="V809" t="s">
        <v>2874</v>
      </c>
      <c r="X809" t="s">
        <v>1173</v>
      </c>
      <c r="Y809" t="s">
        <v>36</v>
      </c>
      <c r="Z809" t="str">
        <f>"85303"</f>
        <v>85303</v>
      </c>
      <c r="AA809" t="str">
        <f>""</f>
        <v/>
      </c>
      <c r="AB809" t="s">
        <v>86</v>
      </c>
    </row>
    <row r="810" spans="1:28" x14ac:dyDescent="0.25">
      <c r="A810">
        <v>4271</v>
      </c>
      <c r="B810" t="str">
        <f t="shared" si="123"/>
        <v>070440000</v>
      </c>
      <c r="C810" t="s">
        <v>2844</v>
      </c>
      <c r="D810">
        <v>5343</v>
      </c>
      <c r="E810" t="str">
        <f>"070440112"</f>
        <v>070440112</v>
      </c>
      <c r="F810" t="s">
        <v>2875</v>
      </c>
      <c r="G810" t="s">
        <v>42</v>
      </c>
      <c r="H810" t="s">
        <v>2850</v>
      </c>
      <c r="I810" t="s">
        <v>2851</v>
      </c>
      <c r="J810" t="s">
        <v>2852</v>
      </c>
      <c r="K810" t="str">
        <f t="shared" si="125"/>
        <v>6232376246</v>
      </c>
      <c r="L810" t="str">
        <f>""</f>
        <v/>
      </c>
      <c r="M810" t="str">
        <f t="shared" si="126"/>
        <v>6232376273</v>
      </c>
      <c r="N810" t="str">
        <f>""</f>
        <v/>
      </c>
      <c r="O810" t="s">
        <v>2853</v>
      </c>
      <c r="P810" t="s">
        <v>2848</v>
      </c>
      <c r="R810" t="s">
        <v>1173</v>
      </c>
      <c r="S810" t="s">
        <v>36</v>
      </c>
      <c r="T810" t="str">
        <f t="shared" si="124"/>
        <v>85303</v>
      </c>
      <c r="U810" t="str">
        <f>""</f>
        <v/>
      </c>
      <c r="V810" t="s">
        <v>2876</v>
      </c>
      <c r="X810" t="s">
        <v>1173</v>
      </c>
      <c r="Y810" t="s">
        <v>36</v>
      </c>
      <c r="Z810" t="str">
        <f>"85303"</f>
        <v>85303</v>
      </c>
      <c r="AA810" t="str">
        <f>""</f>
        <v/>
      </c>
      <c r="AB810" t="s">
        <v>86</v>
      </c>
    </row>
    <row r="811" spans="1:28" x14ac:dyDescent="0.25">
      <c r="A811">
        <v>4271</v>
      </c>
      <c r="B811" t="str">
        <f t="shared" si="123"/>
        <v>070440000</v>
      </c>
      <c r="C811" t="s">
        <v>2844</v>
      </c>
      <c r="D811">
        <v>5344</v>
      </c>
      <c r="E811" t="str">
        <f>"070440113"</f>
        <v>070440113</v>
      </c>
      <c r="F811" t="s">
        <v>2877</v>
      </c>
      <c r="G811" t="s">
        <v>42</v>
      </c>
      <c r="H811" t="s">
        <v>2850</v>
      </c>
      <c r="I811" t="s">
        <v>2851</v>
      </c>
      <c r="J811" t="s">
        <v>2852</v>
      </c>
      <c r="K811" t="str">
        <f t="shared" si="125"/>
        <v>6232376246</v>
      </c>
      <c r="L811" t="str">
        <f>""</f>
        <v/>
      </c>
      <c r="M811" t="str">
        <f t="shared" si="126"/>
        <v>6232376273</v>
      </c>
      <c r="N811" t="str">
        <f>""</f>
        <v/>
      </c>
      <c r="O811" t="s">
        <v>2853</v>
      </c>
      <c r="P811" t="s">
        <v>2848</v>
      </c>
      <c r="R811" t="s">
        <v>1173</v>
      </c>
      <c r="S811" t="s">
        <v>36</v>
      </c>
      <c r="T811" t="str">
        <f t="shared" si="124"/>
        <v>85303</v>
      </c>
      <c r="U811" t="str">
        <f>""</f>
        <v/>
      </c>
      <c r="V811" t="s">
        <v>2878</v>
      </c>
      <c r="X811" t="s">
        <v>1173</v>
      </c>
      <c r="Y811" t="s">
        <v>36</v>
      </c>
      <c r="Z811" t="str">
        <f>"85303"</f>
        <v>85303</v>
      </c>
      <c r="AA811" t="str">
        <f>""</f>
        <v/>
      </c>
      <c r="AB811" t="s">
        <v>86</v>
      </c>
    </row>
    <row r="812" spans="1:28" x14ac:dyDescent="0.25">
      <c r="A812">
        <v>4271</v>
      </c>
      <c r="B812" t="str">
        <f t="shared" si="123"/>
        <v>070440000</v>
      </c>
      <c r="C812" t="s">
        <v>2844</v>
      </c>
      <c r="D812">
        <v>5345</v>
      </c>
      <c r="E812" t="str">
        <f>"070440114"</f>
        <v>070440114</v>
      </c>
      <c r="F812" t="s">
        <v>2879</v>
      </c>
      <c r="G812" t="s">
        <v>42</v>
      </c>
      <c r="H812" t="s">
        <v>2850</v>
      </c>
      <c r="I812" t="s">
        <v>2851</v>
      </c>
      <c r="J812" t="s">
        <v>2852</v>
      </c>
      <c r="K812" t="str">
        <f t="shared" si="125"/>
        <v>6232376246</v>
      </c>
      <c r="L812" t="str">
        <f>""</f>
        <v/>
      </c>
      <c r="M812" t="str">
        <f t="shared" si="126"/>
        <v>6232376273</v>
      </c>
      <c r="N812" t="str">
        <f>""</f>
        <v/>
      </c>
      <c r="O812" t="s">
        <v>2853</v>
      </c>
      <c r="P812" t="s">
        <v>2848</v>
      </c>
      <c r="R812" t="s">
        <v>1173</v>
      </c>
      <c r="S812" t="s">
        <v>36</v>
      </c>
      <c r="T812" t="str">
        <f t="shared" si="124"/>
        <v>85303</v>
      </c>
      <c r="U812" t="str">
        <f>""</f>
        <v/>
      </c>
      <c r="V812" t="s">
        <v>2880</v>
      </c>
      <c r="X812" t="s">
        <v>1173</v>
      </c>
      <c r="Y812" t="s">
        <v>36</v>
      </c>
      <c r="Z812" t="str">
        <f>"85303"</f>
        <v>85303</v>
      </c>
      <c r="AA812" t="str">
        <f>""</f>
        <v/>
      </c>
      <c r="AB812" t="s">
        <v>86</v>
      </c>
    </row>
    <row r="813" spans="1:28" x14ac:dyDescent="0.25">
      <c r="A813">
        <v>4271</v>
      </c>
      <c r="B813" t="str">
        <f t="shared" si="123"/>
        <v>070440000</v>
      </c>
      <c r="C813" t="s">
        <v>2844</v>
      </c>
      <c r="D813">
        <v>7364</v>
      </c>
      <c r="E813" t="str">
        <f>"072167001"</f>
        <v>072167001</v>
      </c>
      <c r="F813" t="s">
        <v>2881</v>
      </c>
      <c r="G813" t="s">
        <v>42</v>
      </c>
      <c r="H813" t="s">
        <v>2850</v>
      </c>
      <c r="I813" t="s">
        <v>2851</v>
      </c>
      <c r="J813" t="s">
        <v>2852</v>
      </c>
      <c r="K813" t="str">
        <f t="shared" si="125"/>
        <v>6232376246</v>
      </c>
      <c r="L813" t="str">
        <f>""</f>
        <v/>
      </c>
      <c r="M813" t="str">
        <f t="shared" si="126"/>
        <v>6232376273</v>
      </c>
      <c r="N813" t="str">
        <f>""</f>
        <v/>
      </c>
      <c r="O813" t="s">
        <v>2853</v>
      </c>
      <c r="P813" t="s">
        <v>2848</v>
      </c>
      <c r="R813" t="s">
        <v>1173</v>
      </c>
      <c r="S813" t="s">
        <v>36</v>
      </c>
      <c r="T813" t="str">
        <f>"85301"</f>
        <v>85301</v>
      </c>
      <c r="U813" t="str">
        <f>""</f>
        <v/>
      </c>
      <c r="V813" t="s">
        <v>2882</v>
      </c>
      <c r="X813" t="s">
        <v>1173</v>
      </c>
      <c r="Y813" t="s">
        <v>36</v>
      </c>
      <c r="Z813" t="str">
        <f>"85301"</f>
        <v>85301</v>
      </c>
      <c r="AA813" t="str">
        <f>""</f>
        <v/>
      </c>
      <c r="AB813" t="s">
        <v>86</v>
      </c>
    </row>
    <row r="814" spans="1:28" x14ac:dyDescent="0.25">
      <c r="A814">
        <v>4271</v>
      </c>
      <c r="B814" t="str">
        <f t="shared" si="123"/>
        <v>070440000</v>
      </c>
      <c r="C814" t="s">
        <v>2844</v>
      </c>
      <c r="D814">
        <v>79782</v>
      </c>
      <c r="E814" t="str">
        <f>"070440115"</f>
        <v>070440115</v>
      </c>
      <c r="F814" t="s">
        <v>2883</v>
      </c>
      <c r="G814" t="s">
        <v>42</v>
      </c>
      <c r="H814" t="s">
        <v>2850</v>
      </c>
      <c r="I814" t="s">
        <v>2851</v>
      </c>
      <c r="J814" t="s">
        <v>2852</v>
      </c>
      <c r="K814" t="str">
        <f t="shared" si="125"/>
        <v>6232376246</v>
      </c>
      <c r="L814" t="str">
        <f>""</f>
        <v/>
      </c>
      <c r="M814" t="str">
        <f t="shared" si="126"/>
        <v>6232376273</v>
      </c>
      <c r="N814" t="str">
        <f>""</f>
        <v/>
      </c>
      <c r="O814" t="s">
        <v>2853</v>
      </c>
      <c r="P814" t="s">
        <v>2848</v>
      </c>
      <c r="R814" t="s">
        <v>1173</v>
      </c>
      <c r="S814" t="s">
        <v>36</v>
      </c>
      <c r="T814" t="str">
        <f>"85303"</f>
        <v>85303</v>
      </c>
      <c r="U814" t="str">
        <f>""</f>
        <v/>
      </c>
      <c r="V814" t="s">
        <v>2884</v>
      </c>
      <c r="X814" t="s">
        <v>1173</v>
      </c>
      <c r="Y814" t="s">
        <v>36</v>
      </c>
      <c r="Z814" t="str">
        <f>"85303"</f>
        <v>85303</v>
      </c>
      <c r="AA814" t="str">
        <f>""</f>
        <v/>
      </c>
      <c r="AB814" t="s">
        <v>86</v>
      </c>
    </row>
    <row r="815" spans="1:28" x14ac:dyDescent="0.25">
      <c r="A815">
        <v>4271</v>
      </c>
      <c r="B815" t="str">
        <f t="shared" si="123"/>
        <v>070440000</v>
      </c>
      <c r="C815" t="s">
        <v>2844</v>
      </c>
      <c r="D815">
        <v>79815</v>
      </c>
      <c r="E815" t="str">
        <f>"070440116"</f>
        <v>070440116</v>
      </c>
      <c r="F815" t="s">
        <v>2885</v>
      </c>
      <c r="G815" t="s">
        <v>42</v>
      </c>
      <c r="H815" t="s">
        <v>2850</v>
      </c>
      <c r="I815" t="s">
        <v>2851</v>
      </c>
      <c r="J815" t="s">
        <v>2852</v>
      </c>
      <c r="K815" t="str">
        <f t="shared" si="125"/>
        <v>6232376246</v>
      </c>
      <c r="L815" t="str">
        <f>""</f>
        <v/>
      </c>
      <c r="M815" t="str">
        <f t="shared" si="126"/>
        <v>6232376273</v>
      </c>
      <c r="N815" t="str">
        <f>""</f>
        <v/>
      </c>
      <c r="O815" t="s">
        <v>2853</v>
      </c>
      <c r="P815" t="s">
        <v>2848</v>
      </c>
      <c r="R815" t="s">
        <v>1173</v>
      </c>
      <c r="S815" t="s">
        <v>36</v>
      </c>
      <c r="T815" t="str">
        <f>"85303"</f>
        <v>85303</v>
      </c>
      <c r="U815" t="str">
        <f>""</f>
        <v/>
      </c>
      <c r="V815" t="s">
        <v>2886</v>
      </c>
      <c r="X815" t="s">
        <v>1173</v>
      </c>
      <c r="Y815" t="s">
        <v>36</v>
      </c>
      <c r="Z815" t="str">
        <f>"85303"</f>
        <v>85303</v>
      </c>
      <c r="AA815" t="str">
        <f>""</f>
        <v/>
      </c>
      <c r="AB815" t="s">
        <v>86</v>
      </c>
    </row>
    <row r="816" spans="1:28" x14ac:dyDescent="0.25">
      <c r="A816">
        <v>4271</v>
      </c>
      <c r="B816" t="str">
        <f t="shared" si="123"/>
        <v>070440000</v>
      </c>
      <c r="C816" t="s">
        <v>2844</v>
      </c>
      <c r="D816">
        <v>79816</v>
      </c>
      <c r="E816" t="str">
        <f>"070440117"</f>
        <v>070440117</v>
      </c>
      <c r="F816" t="s">
        <v>2887</v>
      </c>
      <c r="G816" t="s">
        <v>42</v>
      </c>
      <c r="H816" t="s">
        <v>2850</v>
      </c>
      <c r="I816" t="s">
        <v>2851</v>
      </c>
      <c r="J816" t="s">
        <v>2852</v>
      </c>
      <c r="K816" t="str">
        <f t="shared" si="125"/>
        <v>6232376246</v>
      </c>
      <c r="L816" t="str">
        <f>""</f>
        <v/>
      </c>
      <c r="M816" t="str">
        <f t="shared" si="126"/>
        <v>6232376273</v>
      </c>
      <c r="N816" t="str">
        <f>""</f>
        <v/>
      </c>
      <c r="O816" t="s">
        <v>2853</v>
      </c>
      <c r="P816" t="s">
        <v>2848</v>
      </c>
      <c r="R816" t="s">
        <v>1173</v>
      </c>
      <c r="S816" t="s">
        <v>36</v>
      </c>
      <c r="T816" t="str">
        <f>"85303"</f>
        <v>85303</v>
      </c>
      <c r="U816" t="str">
        <f>""</f>
        <v/>
      </c>
      <c r="V816" t="s">
        <v>2888</v>
      </c>
      <c r="X816" t="s">
        <v>1173</v>
      </c>
      <c r="Y816" t="s">
        <v>36</v>
      </c>
      <c r="Z816" t="str">
        <f>"85303"</f>
        <v>85303</v>
      </c>
      <c r="AA816" t="str">
        <f>""</f>
        <v/>
      </c>
      <c r="AB816" t="s">
        <v>86</v>
      </c>
    </row>
    <row r="817" spans="1:28" x14ac:dyDescent="0.25">
      <c r="A817">
        <v>4272</v>
      </c>
      <c r="B817" t="str">
        <f t="shared" ref="B817:B827" si="128">"070444000"</f>
        <v>070444000</v>
      </c>
      <c r="C817" t="s">
        <v>2889</v>
      </c>
      <c r="D817">
        <v>0</v>
      </c>
      <c r="E817" t="str">
        <f>""</f>
        <v/>
      </c>
      <c r="G817" t="s">
        <v>29</v>
      </c>
      <c r="H817" t="s">
        <v>1639</v>
      </c>
      <c r="I817" t="s">
        <v>2890</v>
      </c>
      <c r="J817" t="s">
        <v>1162</v>
      </c>
      <c r="K817" t="str">
        <f>"6237725025"</f>
        <v>6237725025</v>
      </c>
      <c r="L817" t="str">
        <f>""</f>
        <v/>
      </c>
      <c r="M817" t="str">
        <f>""</f>
        <v/>
      </c>
      <c r="N817" t="str">
        <f>""</f>
        <v/>
      </c>
      <c r="O817" t="s">
        <v>2891</v>
      </c>
      <c r="P817" t="s">
        <v>2892</v>
      </c>
      <c r="R817" t="s">
        <v>2893</v>
      </c>
      <c r="S817" t="s">
        <v>36</v>
      </c>
      <c r="T817" t="str">
        <f>"85323"</f>
        <v>85323</v>
      </c>
      <c r="U817" t="str">
        <f>""</f>
        <v/>
      </c>
      <c r="V817" t="s">
        <v>2892</v>
      </c>
      <c r="X817" t="s">
        <v>2893</v>
      </c>
      <c r="Y817" t="s">
        <v>36</v>
      </c>
      <c r="Z817" t="str">
        <f>"85323"</f>
        <v>85323</v>
      </c>
      <c r="AA817" t="str">
        <f>""</f>
        <v/>
      </c>
      <c r="AB817" t="s">
        <v>821</v>
      </c>
    </row>
    <row r="818" spans="1:28" x14ac:dyDescent="0.25">
      <c r="A818">
        <v>4272</v>
      </c>
      <c r="B818" t="str">
        <f t="shared" si="128"/>
        <v>070444000</v>
      </c>
      <c r="C818" t="s">
        <v>2889</v>
      </c>
      <c r="D818">
        <v>5347</v>
      </c>
      <c r="E818" t="str">
        <f>"070444102"</f>
        <v>070444102</v>
      </c>
      <c r="F818" t="s">
        <v>2894</v>
      </c>
      <c r="G818" t="s">
        <v>42</v>
      </c>
      <c r="H818" t="s">
        <v>2895</v>
      </c>
      <c r="I818" t="s">
        <v>2896</v>
      </c>
      <c r="J818" t="s">
        <v>926</v>
      </c>
      <c r="K818" t="str">
        <f>"6237725114"</f>
        <v>6237725114</v>
      </c>
      <c r="L818" t="str">
        <f>""</f>
        <v/>
      </c>
      <c r="M818" t="str">
        <f>""</f>
        <v/>
      </c>
      <c r="N818" t="str">
        <f>""</f>
        <v/>
      </c>
      <c r="O818" t="s">
        <v>2897</v>
      </c>
      <c r="P818" t="s">
        <v>2892</v>
      </c>
      <c r="R818" t="s">
        <v>2893</v>
      </c>
      <c r="S818" t="s">
        <v>36</v>
      </c>
      <c r="T818" t="str">
        <f>"85323"</f>
        <v>85323</v>
      </c>
      <c r="U818" t="str">
        <f>""</f>
        <v/>
      </c>
      <c r="V818" t="s">
        <v>2898</v>
      </c>
      <c r="X818" t="s">
        <v>2893</v>
      </c>
      <c r="Y818" t="s">
        <v>36</v>
      </c>
      <c r="Z818" t="str">
        <f>"85323"</f>
        <v>85323</v>
      </c>
      <c r="AA818" t="str">
        <f>""</f>
        <v/>
      </c>
      <c r="AB818" t="s">
        <v>821</v>
      </c>
    </row>
    <row r="819" spans="1:28" x14ac:dyDescent="0.25">
      <c r="A819">
        <v>4272</v>
      </c>
      <c r="B819" t="str">
        <f t="shared" si="128"/>
        <v>070444000</v>
      </c>
      <c r="C819" t="s">
        <v>2889</v>
      </c>
      <c r="D819">
        <v>5348</v>
      </c>
      <c r="E819" t="str">
        <f>"070444103"</f>
        <v>070444103</v>
      </c>
      <c r="F819" t="s">
        <v>2899</v>
      </c>
      <c r="G819" t="s">
        <v>42</v>
      </c>
      <c r="H819" t="s">
        <v>2900</v>
      </c>
      <c r="I819" t="s">
        <v>379</v>
      </c>
      <c r="J819" t="s">
        <v>926</v>
      </c>
      <c r="K819" t="str">
        <f>"6237724314"</f>
        <v>6237724314</v>
      </c>
      <c r="L819" t="str">
        <f>""</f>
        <v/>
      </c>
      <c r="M819" t="str">
        <f>""</f>
        <v/>
      </c>
      <c r="N819" t="str">
        <f>""</f>
        <v/>
      </c>
      <c r="O819" t="s">
        <v>2901</v>
      </c>
      <c r="P819" t="s">
        <v>2892</v>
      </c>
      <c r="R819" t="s">
        <v>2893</v>
      </c>
      <c r="S819" t="s">
        <v>36</v>
      </c>
      <c r="T819" t="str">
        <f>"85323"</f>
        <v>85323</v>
      </c>
      <c r="U819" t="str">
        <f>""</f>
        <v/>
      </c>
      <c r="V819" t="s">
        <v>2902</v>
      </c>
      <c r="X819" t="s">
        <v>2670</v>
      </c>
      <c r="Y819" t="s">
        <v>36</v>
      </c>
      <c r="Z819" t="str">
        <f>"85338"</f>
        <v>85338</v>
      </c>
      <c r="AA819" t="str">
        <f>""</f>
        <v/>
      </c>
      <c r="AB819" t="s">
        <v>821</v>
      </c>
    </row>
    <row r="820" spans="1:28" x14ac:dyDescent="0.25">
      <c r="A820">
        <v>4272</v>
      </c>
      <c r="B820" t="str">
        <f t="shared" si="128"/>
        <v>070444000</v>
      </c>
      <c r="C820" t="s">
        <v>2889</v>
      </c>
      <c r="D820">
        <v>5349</v>
      </c>
      <c r="E820" t="str">
        <f>"070444104"</f>
        <v>070444104</v>
      </c>
      <c r="F820" t="s">
        <v>2903</v>
      </c>
      <c r="G820" t="s">
        <v>42</v>
      </c>
      <c r="H820" t="s">
        <v>1813</v>
      </c>
      <c r="I820" t="s">
        <v>2904</v>
      </c>
      <c r="J820" t="s">
        <v>926</v>
      </c>
      <c r="K820" t="str">
        <f>"6237724414"</f>
        <v>6237724414</v>
      </c>
      <c r="L820" t="str">
        <f>""</f>
        <v/>
      </c>
      <c r="M820" t="str">
        <f>""</f>
        <v/>
      </c>
      <c r="N820" t="str">
        <f>""</f>
        <v/>
      </c>
      <c r="O820" t="s">
        <v>2905</v>
      </c>
      <c r="P820" t="s">
        <v>2892</v>
      </c>
      <c r="R820" t="s">
        <v>2893</v>
      </c>
      <c r="S820" t="s">
        <v>36</v>
      </c>
      <c r="T820" t="str">
        <f>"85323"</f>
        <v>85323</v>
      </c>
      <c r="U820" t="str">
        <f>""</f>
        <v/>
      </c>
      <c r="V820" t="s">
        <v>2906</v>
      </c>
      <c r="X820" t="s">
        <v>2893</v>
      </c>
      <c r="Y820" t="s">
        <v>36</v>
      </c>
      <c r="Z820" t="str">
        <f>"85323"</f>
        <v>85323</v>
      </c>
      <c r="AA820" t="str">
        <f>""</f>
        <v/>
      </c>
      <c r="AB820" t="s">
        <v>821</v>
      </c>
    </row>
    <row r="821" spans="1:28" x14ac:dyDescent="0.25">
      <c r="A821">
        <v>4272</v>
      </c>
      <c r="B821" t="str">
        <f t="shared" si="128"/>
        <v>070444000</v>
      </c>
      <c r="C821" t="s">
        <v>2889</v>
      </c>
      <c r="D821">
        <v>78924</v>
      </c>
      <c r="E821" t="str">
        <f>"070444106"</f>
        <v>070444106</v>
      </c>
      <c r="F821" t="s">
        <v>2907</v>
      </c>
      <c r="G821" t="s">
        <v>42</v>
      </c>
      <c r="H821" t="s">
        <v>2908</v>
      </c>
      <c r="I821" t="s">
        <v>2011</v>
      </c>
      <c r="J821" t="s">
        <v>926</v>
      </c>
      <c r="K821" t="str">
        <f>"6237725214"</f>
        <v>6237725214</v>
      </c>
      <c r="L821" t="str">
        <f>""</f>
        <v/>
      </c>
      <c r="M821" t="str">
        <f>""</f>
        <v/>
      </c>
      <c r="N821" t="str">
        <f>""</f>
        <v/>
      </c>
      <c r="O821" t="s">
        <v>2909</v>
      </c>
      <c r="P821" t="s">
        <v>2892</v>
      </c>
      <c r="R821" t="s">
        <v>2893</v>
      </c>
      <c r="S821" t="s">
        <v>36</v>
      </c>
      <c r="T821" t="str">
        <f>"85323"</f>
        <v>85323</v>
      </c>
      <c r="U821" t="str">
        <f>""</f>
        <v/>
      </c>
      <c r="V821" t="s">
        <v>2910</v>
      </c>
      <c r="X821" t="s">
        <v>2670</v>
      </c>
      <c r="Y821" t="s">
        <v>36</v>
      </c>
      <c r="Z821" t="str">
        <f t="shared" ref="Z821:Z826" si="129">"85338"</f>
        <v>85338</v>
      </c>
      <c r="AA821" t="str">
        <f>""</f>
        <v/>
      </c>
      <c r="AB821" t="s">
        <v>821</v>
      </c>
    </row>
    <row r="822" spans="1:28" x14ac:dyDescent="0.25">
      <c r="A822">
        <v>4272</v>
      </c>
      <c r="B822" t="str">
        <f t="shared" si="128"/>
        <v>070444000</v>
      </c>
      <c r="C822" t="s">
        <v>2889</v>
      </c>
      <c r="D822">
        <v>79670</v>
      </c>
      <c r="E822" t="str">
        <f>"070444107"</f>
        <v>070444107</v>
      </c>
      <c r="F822" t="s">
        <v>2911</v>
      </c>
      <c r="G822" t="s">
        <v>42</v>
      </c>
      <c r="H822" t="s">
        <v>2912</v>
      </c>
      <c r="I822" t="s">
        <v>2913</v>
      </c>
      <c r="J822" t="s">
        <v>926</v>
      </c>
      <c r="K822" t="str">
        <f>"6237724614"</f>
        <v>6237724614</v>
      </c>
      <c r="L822" t="str">
        <f>""</f>
        <v/>
      </c>
      <c r="M822" t="str">
        <f>""</f>
        <v/>
      </c>
      <c r="N822" t="str">
        <f>""</f>
        <v/>
      </c>
      <c r="O822" t="s">
        <v>2914</v>
      </c>
      <c r="P822" t="s">
        <v>2892</v>
      </c>
      <c r="R822" t="s">
        <v>2893</v>
      </c>
      <c r="S822" t="s">
        <v>36</v>
      </c>
      <c r="T822" t="str">
        <f>"85338"</f>
        <v>85338</v>
      </c>
      <c r="U822" t="str">
        <f>""</f>
        <v/>
      </c>
      <c r="V822" t="s">
        <v>2915</v>
      </c>
      <c r="X822" t="s">
        <v>2670</v>
      </c>
      <c r="Y822" t="s">
        <v>36</v>
      </c>
      <c r="Z822" t="str">
        <f t="shared" si="129"/>
        <v>85338</v>
      </c>
      <c r="AA822" t="str">
        <f>""</f>
        <v/>
      </c>
      <c r="AB822" t="s">
        <v>821</v>
      </c>
    </row>
    <row r="823" spans="1:28" x14ac:dyDescent="0.25">
      <c r="A823">
        <v>4272</v>
      </c>
      <c r="B823" t="str">
        <f t="shared" si="128"/>
        <v>070444000</v>
      </c>
      <c r="C823" t="s">
        <v>2889</v>
      </c>
      <c r="D823">
        <v>79792</v>
      </c>
      <c r="E823" t="str">
        <f>"070444108"</f>
        <v>070444108</v>
      </c>
      <c r="F823" t="s">
        <v>2916</v>
      </c>
      <c r="G823" t="s">
        <v>42</v>
      </c>
      <c r="H823" t="s">
        <v>1618</v>
      </c>
      <c r="I823" t="s">
        <v>2917</v>
      </c>
      <c r="J823" t="s">
        <v>926</v>
      </c>
      <c r="K823" t="str">
        <f>"6237724714"</f>
        <v>6237724714</v>
      </c>
      <c r="L823" t="str">
        <f>""</f>
        <v/>
      </c>
      <c r="M823" t="str">
        <f>""</f>
        <v/>
      </c>
      <c r="N823" t="str">
        <f>""</f>
        <v/>
      </c>
      <c r="O823" t="s">
        <v>2918</v>
      </c>
      <c r="P823" t="s">
        <v>2892</v>
      </c>
      <c r="R823" t="s">
        <v>2893</v>
      </c>
      <c r="S823" t="s">
        <v>36</v>
      </c>
      <c r="T823" t="str">
        <f>"85323"</f>
        <v>85323</v>
      </c>
      <c r="U823" t="str">
        <f>""</f>
        <v/>
      </c>
      <c r="V823" t="s">
        <v>2919</v>
      </c>
      <c r="X823" t="s">
        <v>2670</v>
      </c>
      <c r="Y823" t="s">
        <v>36</v>
      </c>
      <c r="Z823" t="str">
        <f t="shared" si="129"/>
        <v>85338</v>
      </c>
      <c r="AA823" t="str">
        <f>""</f>
        <v/>
      </c>
      <c r="AB823" t="s">
        <v>821</v>
      </c>
    </row>
    <row r="824" spans="1:28" x14ac:dyDescent="0.25">
      <c r="A824">
        <v>4272</v>
      </c>
      <c r="B824" t="str">
        <f t="shared" si="128"/>
        <v>070444000</v>
      </c>
      <c r="C824" t="s">
        <v>2889</v>
      </c>
      <c r="D824">
        <v>80181</v>
      </c>
      <c r="E824" t="str">
        <f>"072084001"</f>
        <v>072084001</v>
      </c>
      <c r="F824" t="s">
        <v>2920</v>
      </c>
      <c r="G824" t="s">
        <v>42</v>
      </c>
      <c r="H824" t="s">
        <v>1443</v>
      </c>
      <c r="I824" t="s">
        <v>2921</v>
      </c>
      <c r="J824" t="s">
        <v>2922</v>
      </c>
      <c r="K824" t="str">
        <f>"6237725027"</f>
        <v>6237725027</v>
      </c>
      <c r="L824" t="str">
        <f>""</f>
        <v/>
      </c>
      <c r="M824" t="str">
        <f>""</f>
        <v/>
      </c>
      <c r="N824" t="str">
        <f>""</f>
        <v/>
      </c>
      <c r="O824" t="s">
        <v>2923</v>
      </c>
      <c r="P824" t="s">
        <v>2924</v>
      </c>
      <c r="R824" t="s">
        <v>2893</v>
      </c>
      <c r="S824" t="s">
        <v>36</v>
      </c>
      <c r="T824" t="str">
        <f>"85323"</f>
        <v>85323</v>
      </c>
      <c r="U824" t="str">
        <f>""</f>
        <v/>
      </c>
      <c r="V824" t="s">
        <v>2925</v>
      </c>
      <c r="X824" t="s">
        <v>2670</v>
      </c>
      <c r="Y824" t="s">
        <v>36</v>
      </c>
      <c r="Z824" t="str">
        <f t="shared" si="129"/>
        <v>85338</v>
      </c>
      <c r="AA824" t="str">
        <f>""</f>
        <v/>
      </c>
      <c r="AB824" t="s">
        <v>821</v>
      </c>
    </row>
    <row r="825" spans="1:28" x14ac:dyDescent="0.25">
      <c r="A825">
        <v>4272</v>
      </c>
      <c r="B825" t="str">
        <f t="shared" si="128"/>
        <v>070444000</v>
      </c>
      <c r="C825" t="s">
        <v>2889</v>
      </c>
      <c r="D825">
        <v>87619</v>
      </c>
      <c r="E825" t="str">
        <f>"070444111"</f>
        <v>070444111</v>
      </c>
      <c r="F825" t="s">
        <v>2926</v>
      </c>
      <c r="G825" t="s">
        <v>42</v>
      </c>
      <c r="H825" t="s">
        <v>2476</v>
      </c>
      <c r="I825" t="s">
        <v>2927</v>
      </c>
      <c r="J825" t="s">
        <v>926</v>
      </c>
      <c r="K825" t="str">
        <f>"6237724814"</f>
        <v>6237724814</v>
      </c>
      <c r="L825" t="str">
        <f>""</f>
        <v/>
      </c>
      <c r="M825" t="str">
        <f>""</f>
        <v/>
      </c>
      <c r="N825" t="str">
        <f>""</f>
        <v/>
      </c>
      <c r="O825" t="s">
        <v>2928</v>
      </c>
      <c r="P825" t="s">
        <v>2929</v>
      </c>
      <c r="R825" t="s">
        <v>2893</v>
      </c>
      <c r="S825" t="s">
        <v>36</v>
      </c>
      <c r="T825" t="str">
        <f>"85323"</f>
        <v>85323</v>
      </c>
      <c r="U825" t="str">
        <f>""</f>
        <v/>
      </c>
      <c r="V825" t="s">
        <v>2930</v>
      </c>
      <c r="X825" t="s">
        <v>2670</v>
      </c>
      <c r="Y825" t="s">
        <v>36</v>
      </c>
      <c r="Z825" t="str">
        <f t="shared" si="129"/>
        <v>85338</v>
      </c>
      <c r="AA825" t="str">
        <f>""</f>
        <v/>
      </c>
      <c r="AB825" t="s">
        <v>821</v>
      </c>
    </row>
    <row r="826" spans="1:28" x14ac:dyDescent="0.25">
      <c r="A826">
        <v>4272</v>
      </c>
      <c r="B826" t="str">
        <f t="shared" si="128"/>
        <v>070444000</v>
      </c>
      <c r="C826" t="s">
        <v>2889</v>
      </c>
      <c r="D826">
        <v>90028</v>
      </c>
      <c r="E826" t="str">
        <f>"070444110"</f>
        <v>070444110</v>
      </c>
      <c r="F826" t="s">
        <v>2931</v>
      </c>
      <c r="G826" t="s">
        <v>42</v>
      </c>
      <c r="H826" t="s">
        <v>2932</v>
      </c>
      <c r="I826" t="s">
        <v>2933</v>
      </c>
      <c r="J826" t="s">
        <v>926</v>
      </c>
      <c r="K826" t="str">
        <f>"6237724114"</f>
        <v>6237724114</v>
      </c>
      <c r="L826" t="str">
        <f>""</f>
        <v/>
      </c>
      <c r="M826" t="str">
        <f>""</f>
        <v/>
      </c>
      <c r="N826" t="str">
        <f>""</f>
        <v/>
      </c>
      <c r="O826" t="s">
        <v>2934</v>
      </c>
      <c r="P826" t="s">
        <v>2935</v>
      </c>
      <c r="R826" t="s">
        <v>2893</v>
      </c>
      <c r="S826" t="s">
        <v>36</v>
      </c>
      <c r="T826" t="str">
        <f>"85323"</f>
        <v>85323</v>
      </c>
      <c r="U826" t="str">
        <f>""</f>
        <v/>
      </c>
      <c r="V826" t="s">
        <v>2936</v>
      </c>
      <c r="X826" t="s">
        <v>2670</v>
      </c>
      <c r="Y826" t="s">
        <v>36</v>
      </c>
      <c r="Z826" t="str">
        <f t="shared" si="129"/>
        <v>85338</v>
      </c>
      <c r="AA826" t="str">
        <f>""</f>
        <v/>
      </c>
      <c r="AB826" t="s">
        <v>821</v>
      </c>
    </row>
    <row r="827" spans="1:28" x14ac:dyDescent="0.25">
      <c r="A827">
        <v>4272</v>
      </c>
      <c r="B827" t="str">
        <f t="shared" si="128"/>
        <v>070444000</v>
      </c>
      <c r="C827" t="s">
        <v>2889</v>
      </c>
      <c r="D827">
        <v>91985</v>
      </c>
      <c r="E827" t="str">
        <f>"070444112"</f>
        <v>070444112</v>
      </c>
      <c r="F827" t="s">
        <v>2937</v>
      </c>
      <c r="G827" t="s">
        <v>42</v>
      </c>
      <c r="H827" t="s">
        <v>305</v>
      </c>
      <c r="I827" t="s">
        <v>2938</v>
      </c>
      <c r="J827" t="s">
        <v>926</v>
      </c>
      <c r="K827" t="str">
        <f>"6237724514"</f>
        <v>6237724514</v>
      </c>
      <c r="L827" t="str">
        <f>""</f>
        <v/>
      </c>
      <c r="M827" t="str">
        <f>""</f>
        <v/>
      </c>
      <c r="N827" t="str">
        <f>""</f>
        <v/>
      </c>
      <c r="O827" t="s">
        <v>2939</v>
      </c>
      <c r="P827" t="s">
        <v>2929</v>
      </c>
      <c r="R827" t="s">
        <v>2893</v>
      </c>
      <c r="S827" t="s">
        <v>36</v>
      </c>
      <c r="T827" t="str">
        <f>"85323"</f>
        <v>85323</v>
      </c>
      <c r="U827" t="str">
        <f>""</f>
        <v/>
      </c>
      <c r="V827" t="s">
        <v>2940</v>
      </c>
      <c r="X827" t="s">
        <v>2893</v>
      </c>
      <c r="Y827" t="s">
        <v>36</v>
      </c>
      <c r="Z827" t="str">
        <f>"85323"</f>
        <v>85323</v>
      </c>
      <c r="AA827" t="str">
        <f>""</f>
        <v/>
      </c>
      <c r="AB827" t="s">
        <v>821</v>
      </c>
    </row>
    <row r="828" spans="1:28" x14ac:dyDescent="0.25">
      <c r="A828">
        <v>4273</v>
      </c>
      <c r="B828" t="str">
        <f t="shared" ref="B828:B835" si="130">"070445000"</f>
        <v>070445000</v>
      </c>
      <c r="C828" t="s">
        <v>2941</v>
      </c>
      <c r="D828">
        <v>0</v>
      </c>
      <c r="E828" t="str">
        <f>""</f>
        <v/>
      </c>
      <c r="G828" t="s">
        <v>29</v>
      </c>
      <c r="H828" t="s">
        <v>2942</v>
      </c>
      <c r="I828" t="s">
        <v>2943</v>
      </c>
      <c r="J828" t="s">
        <v>2944</v>
      </c>
      <c r="K828" t="str">
        <f>"6237072056"</f>
        <v>6237072056</v>
      </c>
      <c r="L828" t="str">
        <f>""</f>
        <v/>
      </c>
      <c r="M828" t="str">
        <f>"6237072055"</f>
        <v>6237072055</v>
      </c>
      <c r="N828" t="str">
        <f>""</f>
        <v/>
      </c>
      <c r="O828" t="s">
        <v>2945</v>
      </c>
      <c r="P828" t="s">
        <v>2946</v>
      </c>
      <c r="Q828" t="s">
        <v>2947</v>
      </c>
      <c r="R828" t="s">
        <v>964</v>
      </c>
      <c r="S828" t="s">
        <v>36</v>
      </c>
      <c r="T828" t="str">
        <f t="shared" ref="T828:T835" si="131">"85043"</f>
        <v>85043</v>
      </c>
      <c r="U828" t="str">
        <f>""</f>
        <v/>
      </c>
      <c r="V828" t="s">
        <v>2946</v>
      </c>
      <c r="W828" t="s">
        <v>2947</v>
      </c>
      <c r="X828" t="s">
        <v>964</v>
      </c>
      <c r="Y828" t="s">
        <v>36</v>
      </c>
      <c r="Z828" t="str">
        <f t="shared" ref="Z828:Z835" si="132">"85043"</f>
        <v>85043</v>
      </c>
      <c r="AA828" t="str">
        <f>""</f>
        <v/>
      </c>
      <c r="AB828" t="s">
        <v>516</v>
      </c>
    </row>
    <row r="829" spans="1:28" x14ac:dyDescent="0.25">
      <c r="A829">
        <v>4273</v>
      </c>
      <c r="B829" t="str">
        <f t="shared" si="130"/>
        <v>070445000</v>
      </c>
      <c r="C829" t="s">
        <v>2941</v>
      </c>
      <c r="D829">
        <v>5351</v>
      </c>
      <c r="E829" t="str">
        <f>"070445101"</f>
        <v>070445101</v>
      </c>
      <c r="F829" t="s">
        <v>2948</v>
      </c>
      <c r="G829" t="s">
        <v>42</v>
      </c>
      <c r="H829" t="s">
        <v>2912</v>
      </c>
      <c r="I829" t="s">
        <v>2949</v>
      </c>
      <c r="J829" t="s">
        <v>315</v>
      </c>
      <c r="K829" t="str">
        <f>"6237074670"</f>
        <v>6237074670</v>
      </c>
      <c r="L829" t="str">
        <f>""</f>
        <v/>
      </c>
      <c r="M829" t="str">
        <f>"6237074680"</f>
        <v>6237074680</v>
      </c>
      <c r="N829" t="str">
        <f>""</f>
        <v/>
      </c>
      <c r="O829" t="s">
        <v>2950</v>
      </c>
      <c r="P829" t="s">
        <v>2951</v>
      </c>
      <c r="R829" t="s">
        <v>964</v>
      </c>
      <c r="S829" t="s">
        <v>36</v>
      </c>
      <c r="T829" t="str">
        <f t="shared" si="131"/>
        <v>85043</v>
      </c>
      <c r="U829" t="str">
        <f>""</f>
        <v/>
      </c>
      <c r="V829" t="s">
        <v>2951</v>
      </c>
      <c r="X829" t="s">
        <v>964</v>
      </c>
      <c r="Y829" t="s">
        <v>36</v>
      </c>
      <c r="Z829" t="str">
        <f t="shared" si="132"/>
        <v>85043</v>
      </c>
      <c r="AA829" t="str">
        <f>""</f>
        <v/>
      </c>
      <c r="AB829" t="s">
        <v>516</v>
      </c>
    </row>
    <row r="830" spans="1:28" x14ac:dyDescent="0.25">
      <c r="A830">
        <v>4273</v>
      </c>
      <c r="B830" t="str">
        <f t="shared" si="130"/>
        <v>070445000</v>
      </c>
      <c r="C830" t="s">
        <v>2941</v>
      </c>
      <c r="D830">
        <v>5352</v>
      </c>
      <c r="E830" t="str">
        <f>"070445102"</f>
        <v>070445102</v>
      </c>
      <c r="F830" t="s">
        <v>2952</v>
      </c>
      <c r="G830" t="s">
        <v>42</v>
      </c>
      <c r="H830" t="s">
        <v>2715</v>
      </c>
      <c r="I830" t="s">
        <v>2953</v>
      </c>
      <c r="J830" t="s">
        <v>315</v>
      </c>
      <c r="K830" t="str">
        <f>"6237074592"</f>
        <v>6237074592</v>
      </c>
      <c r="L830" t="str">
        <f>""</f>
        <v/>
      </c>
      <c r="M830" t="str">
        <f>"6237074630"</f>
        <v>6237074630</v>
      </c>
      <c r="N830" t="str">
        <f>""</f>
        <v/>
      </c>
      <c r="O830" t="s">
        <v>2954</v>
      </c>
      <c r="P830" t="s">
        <v>2955</v>
      </c>
      <c r="R830" t="s">
        <v>964</v>
      </c>
      <c r="S830" t="s">
        <v>36</v>
      </c>
      <c r="T830" t="str">
        <f t="shared" si="131"/>
        <v>85043</v>
      </c>
      <c r="U830" t="str">
        <f>""</f>
        <v/>
      </c>
      <c r="V830" t="s">
        <v>2955</v>
      </c>
      <c r="X830" t="s">
        <v>964</v>
      </c>
      <c r="Y830" t="s">
        <v>36</v>
      </c>
      <c r="Z830" t="str">
        <f t="shared" si="132"/>
        <v>85043</v>
      </c>
      <c r="AA830" t="str">
        <f>""</f>
        <v/>
      </c>
      <c r="AB830" t="s">
        <v>516</v>
      </c>
    </row>
    <row r="831" spans="1:28" x14ac:dyDescent="0.25">
      <c r="A831">
        <v>4273</v>
      </c>
      <c r="B831" t="str">
        <f t="shared" si="130"/>
        <v>070445000</v>
      </c>
      <c r="C831" t="s">
        <v>2941</v>
      </c>
      <c r="D831">
        <v>5353</v>
      </c>
      <c r="E831" t="str">
        <f>"070445103"</f>
        <v>070445103</v>
      </c>
      <c r="F831" t="s">
        <v>2956</v>
      </c>
      <c r="G831" t="s">
        <v>42</v>
      </c>
      <c r="H831" t="s">
        <v>2957</v>
      </c>
      <c r="I831" t="s">
        <v>110</v>
      </c>
      <c r="J831" t="s">
        <v>315</v>
      </c>
      <c r="K831" t="str">
        <f>"6237071104"</f>
        <v>6237071104</v>
      </c>
      <c r="L831" t="str">
        <f>""</f>
        <v/>
      </c>
      <c r="M831" t="str">
        <f>"6237071110"</f>
        <v>6237071110</v>
      </c>
      <c r="N831" t="str">
        <f>""</f>
        <v/>
      </c>
      <c r="O831" t="s">
        <v>2958</v>
      </c>
      <c r="P831" t="s">
        <v>2959</v>
      </c>
      <c r="R831" t="s">
        <v>964</v>
      </c>
      <c r="S831" t="s">
        <v>36</v>
      </c>
      <c r="T831" t="str">
        <f t="shared" si="131"/>
        <v>85043</v>
      </c>
      <c r="U831" t="str">
        <f>""</f>
        <v/>
      </c>
      <c r="V831" t="s">
        <v>2959</v>
      </c>
      <c r="X831" t="s">
        <v>964</v>
      </c>
      <c r="Y831" t="s">
        <v>36</v>
      </c>
      <c r="Z831" t="str">
        <f t="shared" si="132"/>
        <v>85043</v>
      </c>
      <c r="AA831" t="str">
        <f>""</f>
        <v/>
      </c>
      <c r="AB831" t="s">
        <v>516</v>
      </c>
    </row>
    <row r="832" spans="1:28" x14ac:dyDescent="0.25">
      <c r="A832">
        <v>4273</v>
      </c>
      <c r="B832" t="str">
        <f t="shared" si="130"/>
        <v>070445000</v>
      </c>
      <c r="C832" t="s">
        <v>2941</v>
      </c>
      <c r="D832">
        <v>80315</v>
      </c>
      <c r="E832" t="str">
        <f>"070445104"</f>
        <v>070445104</v>
      </c>
      <c r="F832" t="s">
        <v>2960</v>
      </c>
      <c r="G832" t="s">
        <v>42</v>
      </c>
      <c r="H832" t="s">
        <v>2961</v>
      </c>
      <c r="I832" t="s">
        <v>110</v>
      </c>
      <c r="J832" t="s">
        <v>315</v>
      </c>
      <c r="K832" t="str">
        <f>"6237072010"</f>
        <v>6237072010</v>
      </c>
      <c r="L832" t="str">
        <f>""</f>
        <v/>
      </c>
      <c r="M832" t="str">
        <f>"6237072015"</f>
        <v>6237072015</v>
      </c>
      <c r="N832" t="str">
        <f>""</f>
        <v/>
      </c>
      <c r="O832" t="s">
        <v>2962</v>
      </c>
      <c r="P832" t="s">
        <v>2963</v>
      </c>
      <c r="R832" t="s">
        <v>964</v>
      </c>
      <c r="S832" t="s">
        <v>36</v>
      </c>
      <c r="T832" t="str">
        <f t="shared" si="131"/>
        <v>85043</v>
      </c>
      <c r="U832" t="str">
        <f>""</f>
        <v/>
      </c>
      <c r="V832" t="s">
        <v>2963</v>
      </c>
      <c r="X832" t="s">
        <v>964</v>
      </c>
      <c r="Y832" t="s">
        <v>36</v>
      </c>
      <c r="Z832" t="str">
        <f t="shared" si="132"/>
        <v>85043</v>
      </c>
      <c r="AA832" t="str">
        <f>""</f>
        <v/>
      </c>
      <c r="AB832" t="s">
        <v>516</v>
      </c>
    </row>
    <row r="833" spans="1:28" x14ac:dyDescent="0.25">
      <c r="A833">
        <v>4273</v>
      </c>
      <c r="B833" t="str">
        <f t="shared" si="130"/>
        <v>070445000</v>
      </c>
      <c r="C833" t="s">
        <v>2941</v>
      </c>
      <c r="D833">
        <v>80915</v>
      </c>
      <c r="E833" t="str">
        <f>"070445105"</f>
        <v>070445105</v>
      </c>
      <c r="F833" t="s">
        <v>2964</v>
      </c>
      <c r="G833" t="s">
        <v>42</v>
      </c>
      <c r="H833" t="s">
        <v>1305</v>
      </c>
      <c r="I833" t="s">
        <v>2896</v>
      </c>
      <c r="J833" t="s">
        <v>315</v>
      </c>
      <c r="K833" t="str">
        <f>"6237072135"</f>
        <v>6237072135</v>
      </c>
      <c r="L833" t="str">
        <f>""</f>
        <v/>
      </c>
      <c r="M833" t="str">
        <f>"6237072104"</f>
        <v>6237072104</v>
      </c>
      <c r="N833" t="str">
        <f>""</f>
        <v/>
      </c>
      <c r="O833" t="s">
        <v>2965</v>
      </c>
      <c r="P833" t="s">
        <v>2966</v>
      </c>
      <c r="R833" t="s">
        <v>964</v>
      </c>
      <c r="S833" t="s">
        <v>36</v>
      </c>
      <c r="T833" t="str">
        <f t="shared" si="131"/>
        <v>85043</v>
      </c>
      <c r="U833" t="str">
        <f>""</f>
        <v/>
      </c>
      <c r="V833" t="s">
        <v>2966</v>
      </c>
      <c r="X833" t="s">
        <v>964</v>
      </c>
      <c r="Y833" t="s">
        <v>36</v>
      </c>
      <c r="Z833" t="str">
        <f t="shared" si="132"/>
        <v>85043</v>
      </c>
      <c r="AA833" t="str">
        <f>""</f>
        <v/>
      </c>
      <c r="AB833" t="s">
        <v>516</v>
      </c>
    </row>
    <row r="834" spans="1:28" x14ac:dyDescent="0.25">
      <c r="A834">
        <v>4273</v>
      </c>
      <c r="B834" t="str">
        <f t="shared" si="130"/>
        <v>070445000</v>
      </c>
      <c r="C834" t="s">
        <v>2941</v>
      </c>
      <c r="D834">
        <v>80916</v>
      </c>
      <c r="E834" t="str">
        <f>"070445106"</f>
        <v>070445106</v>
      </c>
      <c r="F834" t="s">
        <v>2967</v>
      </c>
      <c r="G834" t="s">
        <v>42</v>
      </c>
      <c r="H834" t="s">
        <v>1305</v>
      </c>
      <c r="I834" t="s">
        <v>2896</v>
      </c>
      <c r="J834" t="s">
        <v>315</v>
      </c>
      <c r="K834" t="str">
        <f>"6237072135"</f>
        <v>6237072135</v>
      </c>
      <c r="L834" t="str">
        <f>""</f>
        <v/>
      </c>
      <c r="M834" t="str">
        <f>"6237072204"</f>
        <v>6237072204</v>
      </c>
      <c r="N834" t="str">
        <f>""</f>
        <v/>
      </c>
      <c r="O834" t="s">
        <v>2965</v>
      </c>
      <c r="P834" t="s">
        <v>2966</v>
      </c>
      <c r="R834" t="s">
        <v>964</v>
      </c>
      <c r="S834" t="s">
        <v>36</v>
      </c>
      <c r="T834" t="str">
        <f t="shared" si="131"/>
        <v>85043</v>
      </c>
      <c r="U834" t="str">
        <f>""</f>
        <v/>
      </c>
      <c r="V834" t="s">
        <v>2966</v>
      </c>
      <c r="X834" t="s">
        <v>964</v>
      </c>
      <c r="Y834" t="s">
        <v>36</v>
      </c>
      <c r="Z834" t="str">
        <f t="shared" si="132"/>
        <v>85043</v>
      </c>
      <c r="AA834" t="str">
        <f>""</f>
        <v/>
      </c>
      <c r="AB834" t="s">
        <v>516</v>
      </c>
    </row>
    <row r="835" spans="1:28" x14ac:dyDescent="0.25">
      <c r="A835">
        <v>4273</v>
      </c>
      <c r="B835" t="str">
        <f t="shared" si="130"/>
        <v>070445000</v>
      </c>
      <c r="C835" t="s">
        <v>2941</v>
      </c>
      <c r="D835">
        <v>87521</v>
      </c>
      <c r="E835" t="str">
        <f>"070445107"</f>
        <v>070445107</v>
      </c>
      <c r="F835" t="s">
        <v>2968</v>
      </c>
      <c r="G835" t="s">
        <v>42</v>
      </c>
      <c r="H835" t="s">
        <v>2969</v>
      </c>
      <c r="I835" t="s">
        <v>2970</v>
      </c>
      <c r="J835" t="s">
        <v>315</v>
      </c>
      <c r="K835" t="str">
        <f>"6237072353"</f>
        <v>6237072353</v>
      </c>
      <c r="L835" t="str">
        <f>""</f>
        <v/>
      </c>
      <c r="M835" t="str">
        <f>"6237072304"</f>
        <v>6237072304</v>
      </c>
      <c r="N835" t="str">
        <f>""</f>
        <v/>
      </c>
      <c r="O835" t="s">
        <v>2971</v>
      </c>
      <c r="P835" t="s">
        <v>2972</v>
      </c>
      <c r="R835" t="s">
        <v>964</v>
      </c>
      <c r="S835" t="s">
        <v>36</v>
      </c>
      <c r="T835" t="str">
        <f t="shared" si="131"/>
        <v>85043</v>
      </c>
      <c r="U835" t="str">
        <f>""</f>
        <v/>
      </c>
      <c r="V835" t="s">
        <v>2972</v>
      </c>
      <c r="X835" t="s">
        <v>964</v>
      </c>
      <c r="Y835" t="s">
        <v>36</v>
      </c>
      <c r="Z835" t="str">
        <f t="shared" si="132"/>
        <v>85043</v>
      </c>
      <c r="AA835" t="str">
        <f>""</f>
        <v/>
      </c>
      <c r="AB835" t="s">
        <v>516</v>
      </c>
    </row>
    <row r="836" spans="1:28" x14ac:dyDescent="0.25">
      <c r="A836">
        <v>4274</v>
      </c>
      <c r="B836" t="str">
        <f>"070447000"</f>
        <v>070447000</v>
      </c>
      <c r="C836" t="s">
        <v>2973</v>
      </c>
      <c r="D836">
        <v>0</v>
      </c>
      <c r="E836" t="str">
        <f>""</f>
        <v/>
      </c>
      <c r="G836" t="s">
        <v>29</v>
      </c>
      <c r="H836" t="s">
        <v>2974</v>
      </c>
      <c r="I836" t="s">
        <v>2975</v>
      </c>
      <c r="J836" t="s">
        <v>315</v>
      </c>
      <c r="K836" t="str">
        <f>"6233862031"</f>
        <v>6233862031</v>
      </c>
      <c r="L836" t="str">
        <f>"246"</f>
        <v>246</v>
      </c>
      <c r="M836" t="str">
        <f>"6233861627"</f>
        <v>6233861627</v>
      </c>
      <c r="N836" t="str">
        <f>""</f>
        <v/>
      </c>
      <c r="O836" t="s">
        <v>2976</v>
      </c>
      <c r="P836" t="s">
        <v>2977</v>
      </c>
      <c r="R836" t="s">
        <v>2978</v>
      </c>
      <c r="S836" t="s">
        <v>36</v>
      </c>
      <c r="T836" t="str">
        <f>"85322"</f>
        <v>85322</v>
      </c>
      <c r="U836" t="str">
        <f>""</f>
        <v/>
      </c>
      <c r="V836" t="s">
        <v>2979</v>
      </c>
      <c r="X836" t="s">
        <v>2978</v>
      </c>
      <c r="Y836" t="s">
        <v>36</v>
      </c>
      <c r="Z836" t="str">
        <f>"85322"</f>
        <v>85322</v>
      </c>
      <c r="AA836" t="str">
        <f>""</f>
        <v/>
      </c>
      <c r="AB836" t="s">
        <v>40</v>
      </c>
    </row>
    <row r="837" spans="1:28" x14ac:dyDescent="0.25">
      <c r="A837">
        <v>4274</v>
      </c>
      <c r="B837" t="str">
        <f>"070447000"</f>
        <v>070447000</v>
      </c>
      <c r="C837" t="s">
        <v>2973</v>
      </c>
      <c r="D837">
        <v>5354</v>
      </c>
      <c r="E837" t="str">
        <f>"070447101"</f>
        <v>070447101</v>
      </c>
      <c r="F837" t="s">
        <v>2980</v>
      </c>
      <c r="G837" t="s">
        <v>42</v>
      </c>
      <c r="H837" t="s">
        <v>2974</v>
      </c>
      <c r="I837" t="s">
        <v>2975</v>
      </c>
      <c r="J837" t="s">
        <v>315</v>
      </c>
      <c r="K837" t="str">
        <f>"6233862031"</f>
        <v>6233862031</v>
      </c>
      <c r="L837" t="str">
        <f>"246"</f>
        <v>246</v>
      </c>
      <c r="M837" t="str">
        <f>"6233861627"</f>
        <v>6233861627</v>
      </c>
      <c r="N837" t="str">
        <f>""</f>
        <v/>
      </c>
      <c r="O837" t="s">
        <v>2976</v>
      </c>
      <c r="P837" t="s">
        <v>2977</v>
      </c>
      <c r="R837" t="s">
        <v>2978</v>
      </c>
      <c r="S837" t="s">
        <v>36</v>
      </c>
      <c r="T837" t="str">
        <f>"85322"</f>
        <v>85322</v>
      </c>
      <c r="U837" t="str">
        <f>""</f>
        <v/>
      </c>
      <c r="V837" t="s">
        <v>2979</v>
      </c>
      <c r="X837" t="s">
        <v>2978</v>
      </c>
      <c r="Y837" t="s">
        <v>36</v>
      </c>
      <c r="Z837" t="str">
        <f>"85322"</f>
        <v>85322</v>
      </c>
      <c r="AA837" t="str">
        <f>""</f>
        <v/>
      </c>
      <c r="AB837" t="s">
        <v>40</v>
      </c>
    </row>
    <row r="838" spans="1:28" x14ac:dyDescent="0.25">
      <c r="A838">
        <v>4275</v>
      </c>
      <c r="B838" t="str">
        <f>"070449000"</f>
        <v>070449000</v>
      </c>
      <c r="C838" t="s">
        <v>2981</v>
      </c>
      <c r="D838">
        <v>0</v>
      </c>
      <c r="E838" t="str">
        <f>""</f>
        <v/>
      </c>
      <c r="G838" t="s">
        <v>29</v>
      </c>
      <c r="H838" t="s">
        <v>1874</v>
      </c>
      <c r="I838" t="s">
        <v>2982</v>
      </c>
      <c r="J838" t="s">
        <v>32</v>
      </c>
      <c r="K838" t="str">
        <f>"6233273680"</f>
        <v>6233273680</v>
      </c>
      <c r="L838" t="str">
        <f>"693"</f>
        <v>693</v>
      </c>
      <c r="M838" t="str">
        <f>"6233864654"</f>
        <v>6233864654</v>
      </c>
      <c r="N838" t="str">
        <f>""</f>
        <v/>
      </c>
      <c r="O838" t="s">
        <v>2983</v>
      </c>
      <c r="P838" t="s">
        <v>2984</v>
      </c>
      <c r="R838" t="s">
        <v>2985</v>
      </c>
      <c r="S838" t="s">
        <v>36</v>
      </c>
      <c r="T838" t="str">
        <f>"85343"</f>
        <v>85343</v>
      </c>
      <c r="U838" t="str">
        <f>"0108"</f>
        <v>0108</v>
      </c>
      <c r="V838" t="s">
        <v>2986</v>
      </c>
      <c r="X838" t="s">
        <v>2985</v>
      </c>
      <c r="Y838" t="s">
        <v>36</v>
      </c>
      <c r="Z838" t="str">
        <f>"85343"</f>
        <v>85343</v>
      </c>
      <c r="AA838" t="str">
        <f>"0108"</f>
        <v>0108</v>
      </c>
      <c r="AB838" t="s">
        <v>508</v>
      </c>
    </row>
    <row r="839" spans="1:28" x14ac:dyDescent="0.25">
      <c r="A839">
        <v>4275</v>
      </c>
      <c r="B839" t="str">
        <f>"070449000"</f>
        <v>070449000</v>
      </c>
      <c r="C839" t="s">
        <v>2981</v>
      </c>
      <c r="D839">
        <v>5355</v>
      </c>
      <c r="E839" t="str">
        <f>"070449101"</f>
        <v>070449101</v>
      </c>
      <c r="F839" t="s">
        <v>2987</v>
      </c>
      <c r="G839" t="s">
        <v>42</v>
      </c>
      <c r="H839" t="s">
        <v>2988</v>
      </c>
      <c r="I839" t="s">
        <v>2989</v>
      </c>
      <c r="J839" t="s">
        <v>2990</v>
      </c>
      <c r="K839" t="str">
        <f>"6233273690"</f>
        <v>6233273690</v>
      </c>
      <c r="L839" t="str">
        <f>"686"</f>
        <v>686</v>
      </c>
      <c r="M839" t="str">
        <f>"6233273695"</f>
        <v>6233273695</v>
      </c>
      <c r="N839" t="str">
        <f>""</f>
        <v/>
      </c>
      <c r="O839" t="s">
        <v>2991</v>
      </c>
      <c r="P839" t="s">
        <v>2984</v>
      </c>
      <c r="R839" t="s">
        <v>2985</v>
      </c>
      <c r="S839" t="s">
        <v>36</v>
      </c>
      <c r="T839" t="str">
        <f>"85343"</f>
        <v>85343</v>
      </c>
      <c r="U839" t="str">
        <f>"0108"</f>
        <v>0108</v>
      </c>
      <c r="V839" t="s">
        <v>2986</v>
      </c>
      <c r="X839" t="s">
        <v>2985</v>
      </c>
      <c r="Y839" t="s">
        <v>36</v>
      </c>
      <c r="Z839" t="str">
        <f>"85343"</f>
        <v>85343</v>
      </c>
      <c r="AA839" t="str">
        <f>"0108"</f>
        <v>0108</v>
      </c>
      <c r="AB839" t="s">
        <v>508</v>
      </c>
    </row>
    <row r="840" spans="1:28" x14ac:dyDescent="0.25">
      <c r="A840">
        <v>4276</v>
      </c>
      <c r="B840" t="str">
        <f t="shared" ref="B840:B848" si="133">"070459000"</f>
        <v>070459000</v>
      </c>
      <c r="C840" t="s">
        <v>2992</v>
      </c>
      <c r="D840">
        <v>0</v>
      </c>
      <c r="E840" t="str">
        <f>""</f>
        <v/>
      </c>
      <c r="G840" t="s">
        <v>29</v>
      </c>
      <c r="H840" t="s">
        <v>320</v>
      </c>
      <c r="I840" t="s">
        <v>2993</v>
      </c>
      <c r="J840" t="s">
        <v>2994</v>
      </c>
      <c r="K840" t="str">
        <f>"6022379100"</f>
        <v>6022379100</v>
      </c>
      <c r="L840" t="str">
        <f>"3044"</f>
        <v>3044</v>
      </c>
      <c r="M840" t="str">
        <f>"6022377401"</f>
        <v>6022377401</v>
      </c>
      <c r="N840" t="str">
        <f>""</f>
        <v/>
      </c>
      <c r="O840" t="s">
        <v>2995</v>
      </c>
      <c r="P840" t="s">
        <v>2996</v>
      </c>
      <c r="R840" t="s">
        <v>2997</v>
      </c>
      <c r="S840" t="s">
        <v>36</v>
      </c>
      <c r="T840" t="str">
        <f t="shared" ref="T840:T848" si="134">"85339"</f>
        <v>85339</v>
      </c>
      <c r="U840" t="str">
        <f>""</f>
        <v/>
      </c>
      <c r="V840" t="s">
        <v>2996</v>
      </c>
      <c r="X840" t="s">
        <v>2997</v>
      </c>
      <c r="Y840" t="s">
        <v>36</v>
      </c>
      <c r="Z840" t="str">
        <f>"85339"</f>
        <v>85339</v>
      </c>
      <c r="AA840" t="str">
        <f>""</f>
        <v/>
      </c>
      <c r="AB840" t="s">
        <v>1466</v>
      </c>
    </row>
    <row r="841" spans="1:28" x14ac:dyDescent="0.25">
      <c r="A841">
        <v>4276</v>
      </c>
      <c r="B841" t="str">
        <f t="shared" si="133"/>
        <v>070459000</v>
      </c>
      <c r="C841" t="s">
        <v>2992</v>
      </c>
      <c r="D841">
        <v>5356</v>
      </c>
      <c r="E841" t="str">
        <f>"070459101"</f>
        <v>070459101</v>
      </c>
      <c r="F841" t="s">
        <v>2998</v>
      </c>
      <c r="G841" t="s">
        <v>42</v>
      </c>
      <c r="H841" t="s">
        <v>2999</v>
      </c>
      <c r="I841" t="s">
        <v>3000</v>
      </c>
      <c r="J841" t="s">
        <v>315</v>
      </c>
      <c r="K841" t="str">
        <f>"6022379100"</f>
        <v>6022379100</v>
      </c>
      <c r="L841" t="str">
        <f>"3112"</f>
        <v>3112</v>
      </c>
      <c r="M841" t="str">
        <f>"6022379134"</f>
        <v>6022379134</v>
      </c>
      <c r="N841" t="str">
        <f>""</f>
        <v/>
      </c>
      <c r="O841" t="s">
        <v>3001</v>
      </c>
      <c r="P841" t="s">
        <v>2996</v>
      </c>
      <c r="R841" t="s">
        <v>2997</v>
      </c>
      <c r="S841" t="s">
        <v>36</v>
      </c>
      <c r="T841" t="str">
        <f t="shared" si="134"/>
        <v>85339</v>
      </c>
      <c r="U841" t="str">
        <f>""</f>
        <v/>
      </c>
      <c r="V841" t="s">
        <v>3002</v>
      </c>
      <c r="X841" t="s">
        <v>2997</v>
      </c>
      <c r="Y841" t="s">
        <v>36</v>
      </c>
      <c r="Z841" t="str">
        <f>"85339"</f>
        <v>85339</v>
      </c>
      <c r="AA841" t="str">
        <f>"0029"</f>
        <v>0029</v>
      </c>
      <c r="AB841" t="s">
        <v>1466</v>
      </c>
    </row>
    <row r="842" spans="1:28" x14ac:dyDescent="0.25">
      <c r="A842">
        <v>4276</v>
      </c>
      <c r="B842" t="str">
        <f t="shared" si="133"/>
        <v>070459000</v>
      </c>
      <c r="C842" t="s">
        <v>2992</v>
      </c>
      <c r="D842">
        <v>5357</v>
      </c>
      <c r="E842" t="str">
        <f>"070459102"</f>
        <v>070459102</v>
      </c>
      <c r="F842" t="s">
        <v>3003</v>
      </c>
      <c r="G842" t="s">
        <v>42</v>
      </c>
      <c r="H842" t="s">
        <v>3004</v>
      </c>
      <c r="I842" t="s">
        <v>3005</v>
      </c>
      <c r="J842" t="s">
        <v>315</v>
      </c>
      <c r="K842" t="str">
        <f>"6022379120"</f>
        <v>6022379120</v>
      </c>
      <c r="L842" t="str">
        <f>"3212"</f>
        <v>3212</v>
      </c>
      <c r="M842" t="str">
        <f>"6022379133"</f>
        <v>6022379133</v>
      </c>
      <c r="N842" t="str">
        <f>""</f>
        <v/>
      </c>
      <c r="O842" t="s">
        <v>3006</v>
      </c>
      <c r="P842" t="s">
        <v>2996</v>
      </c>
      <c r="R842" t="s">
        <v>2997</v>
      </c>
      <c r="S842" t="s">
        <v>36</v>
      </c>
      <c r="T842" t="str">
        <f t="shared" si="134"/>
        <v>85339</v>
      </c>
      <c r="U842" t="str">
        <f>""</f>
        <v/>
      </c>
      <c r="V842" t="s">
        <v>3007</v>
      </c>
      <c r="X842" t="s">
        <v>2997</v>
      </c>
      <c r="Y842" t="s">
        <v>36</v>
      </c>
      <c r="Z842" t="str">
        <f>"85041"</f>
        <v>85041</v>
      </c>
      <c r="AA842" t="str">
        <f>""</f>
        <v/>
      </c>
      <c r="AB842" t="s">
        <v>1466</v>
      </c>
    </row>
    <row r="843" spans="1:28" x14ac:dyDescent="0.25">
      <c r="A843">
        <v>4276</v>
      </c>
      <c r="B843" t="str">
        <f t="shared" si="133"/>
        <v>070459000</v>
      </c>
      <c r="C843" t="s">
        <v>2992</v>
      </c>
      <c r="D843">
        <v>5358</v>
      </c>
      <c r="E843" t="str">
        <f>"070459103"</f>
        <v>070459103</v>
      </c>
      <c r="F843" t="s">
        <v>3008</v>
      </c>
      <c r="G843" t="s">
        <v>42</v>
      </c>
      <c r="H843" t="s">
        <v>3009</v>
      </c>
      <c r="I843" t="s">
        <v>512</v>
      </c>
      <c r="J843" t="s">
        <v>315</v>
      </c>
      <c r="K843" t="str">
        <f>"6022373046"</f>
        <v>6022373046</v>
      </c>
      <c r="L843" t="str">
        <f>"3312"</f>
        <v>3312</v>
      </c>
      <c r="M843" t="str">
        <f>"6022371976"</f>
        <v>6022371976</v>
      </c>
      <c r="N843" t="str">
        <f>""</f>
        <v/>
      </c>
      <c r="O843" t="s">
        <v>3010</v>
      </c>
      <c r="P843" t="s">
        <v>2996</v>
      </c>
      <c r="R843" t="s">
        <v>2997</v>
      </c>
      <c r="S843" t="s">
        <v>36</v>
      </c>
      <c r="T843" t="str">
        <f t="shared" si="134"/>
        <v>85339</v>
      </c>
      <c r="U843" t="str">
        <f>""</f>
        <v/>
      </c>
      <c r="V843" t="s">
        <v>3011</v>
      </c>
      <c r="X843" t="s">
        <v>2997</v>
      </c>
      <c r="Y843" t="s">
        <v>36</v>
      </c>
      <c r="Z843" t="str">
        <f t="shared" ref="Z843:Z848" si="135">"85339"</f>
        <v>85339</v>
      </c>
      <c r="AA843" t="str">
        <f>""</f>
        <v/>
      </c>
      <c r="AB843" t="s">
        <v>1466</v>
      </c>
    </row>
    <row r="844" spans="1:28" x14ac:dyDescent="0.25">
      <c r="A844">
        <v>4276</v>
      </c>
      <c r="B844" t="str">
        <f t="shared" si="133"/>
        <v>070459000</v>
      </c>
      <c r="C844" t="s">
        <v>2992</v>
      </c>
      <c r="D844">
        <v>84305</v>
      </c>
      <c r="E844" t="str">
        <f>"070459104"</f>
        <v>070459104</v>
      </c>
      <c r="F844" t="s">
        <v>3012</v>
      </c>
      <c r="G844" t="s">
        <v>42</v>
      </c>
      <c r="H844" t="s">
        <v>2200</v>
      </c>
      <c r="I844" t="s">
        <v>3013</v>
      </c>
      <c r="J844" t="s">
        <v>315</v>
      </c>
      <c r="K844" t="str">
        <f>"6022377040"</f>
        <v>6022377040</v>
      </c>
      <c r="L844" t="str">
        <f>"3412"</f>
        <v>3412</v>
      </c>
      <c r="M844" t="str">
        <f>"6022373376"</f>
        <v>6022373376</v>
      </c>
      <c r="N844" t="str">
        <f>""</f>
        <v/>
      </c>
      <c r="O844" t="s">
        <v>3014</v>
      </c>
      <c r="P844" t="s">
        <v>2996</v>
      </c>
      <c r="R844" t="s">
        <v>2997</v>
      </c>
      <c r="S844" t="s">
        <v>36</v>
      </c>
      <c r="T844" t="str">
        <f t="shared" si="134"/>
        <v>85339</v>
      </c>
      <c r="U844" t="str">
        <f>""</f>
        <v/>
      </c>
      <c r="V844" t="s">
        <v>3015</v>
      </c>
      <c r="X844" t="s">
        <v>2997</v>
      </c>
      <c r="Y844" t="s">
        <v>36</v>
      </c>
      <c r="Z844" t="str">
        <f t="shared" si="135"/>
        <v>85339</v>
      </c>
      <c r="AA844" t="str">
        <f>""</f>
        <v/>
      </c>
      <c r="AB844" t="s">
        <v>1466</v>
      </c>
    </row>
    <row r="845" spans="1:28" x14ac:dyDescent="0.25">
      <c r="A845">
        <v>4276</v>
      </c>
      <c r="B845" t="str">
        <f t="shared" si="133"/>
        <v>070459000</v>
      </c>
      <c r="C845" t="s">
        <v>2992</v>
      </c>
      <c r="D845">
        <v>88421</v>
      </c>
      <c r="E845" t="str">
        <f>"070459105"</f>
        <v>070459105</v>
      </c>
      <c r="F845" t="s">
        <v>3016</v>
      </c>
      <c r="G845" t="s">
        <v>42</v>
      </c>
      <c r="H845" t="s">
        <v>3017</v>
      </c>
      <c r="I845" t="s">
        <v>3018</v>
      </c>
      <c r="J845" t="s">
        <v>315</v>
      </c>
      <c r="K845" t="str">
        <f>"6026058540"</f>
        <v>6026058540</v>
      </c>
      <c r="L845" t="str">
        <f>"3512"</f>
        <v>3512</v>
      </c>
      <c r="M845" t="str">
        <f>"6026058545"</f>
        <v>6026058545</v>
      </c>
      <c r="N845" t="str">
        <f>""</f>
        <v/>
      </c>
      <c r="O845" t="s">
        <v>3019</v>
      </c>
      <c r="P845" t="s">
        <v>2996</v>
      </c>
      <c r="R845" t="s">
        <v>2997</v>
      </c>
      <c r="S845" t="s">
        <v>36</v>
      </c>
      <c r="T845" t="str">
        <f t="shared" si="134"/>
        <v>85339</v>
      </c>
      <c r="U845" t="str">
        <f>""</f>
        <v/>
      </c>
      <c r="V845" t="s">
        <v>3020</v>
      </c>
      <c r="X845" t="s">
        <v>2997</v>
      </c>
      <c r="Y845" t="s">
        <v>36</v>
      </c>
      <c r="Z845" t="str">
        <f t="shared" si="135"/>
        <v>85339</v>
      </c>
      <c r="AA845" t="str">
        <f>""</f>
        <v/>
      </c>
      <c r="AB845" t="s">
        <v>1466</v>
      </c>
    </row>
    <row r="846" spans="1:28" x14ac:dyDescent="0.25">
      <c r="A846">
        <v>4276</v>
      </c>
      <c r="B846" t="str">
        <f t="shared" si="133"/>
        <v>070459000</v>
      </c>
      <c r="C846" t="s">
        <v>2992</v>
      </c>
      <c r="D846">
        <v>89266</v>
      </c>
      <c r="E846" t="str">
        <f>"070459106"</f>
        <v>070459106</v>
      </c>
      <c r="F846" t="s">
        <v>3021</v>
      </c>
      <c r="G846" t="s">
        <v>42</v>
      </c>
      <c r="H846" t="s">
        <v>3022</v>
      </c>
      <c r="I846" t="s">
        <v>2943</v>
      </c>
      <c r="J846" t="s">
        <v>315</v>
      </c>
      <c r="K846" t="str">
        <f>"6023042020"</f>
        <v>6023042020</v>
      </c>
      <c r="L846" t="str">
        <f>"3612"</f>
        <v>3612</v>
      </c>
      <c r="M846" t="str">
        <f>"6023042025"</f>
        <v>6023042025</v>
      </c>
      <c r="N846" t="str">
        <f>""</f>
        <v/>
      </c>
      <c r="O846" t="s">
        <v>3023</v>
      </c>
      <c r="P846" t="s">
        <v>2996</v>
      </c>
      <c r="R846" t="s">
        <v>2997</v>
      </c>
      <c r="S846" t="s">
        <v>36</v>
      </c>
      <c r="T846" t="str">
        <f t="shared" si="134"/>
        <v>85339</v>
      </c>
      <c r="U846" t="str">
        <f>""</f>
        <v/>
      </c>
      <c r="V846" t="s">
        <v>3024</v>
      </c>
      <c r="X846" t="s">
        <v>2997</v>
      </c>
      <c r="Y846" t="s">
        <v>36</v>
      </c>
      <c r="Z846" t="str">
        <f t="shared" si="135"/>
        <v>85339</v>
      </c>
      <c r="AA846" t="str">
        <f>""</f>
        <v/>
      </c>
      <c r="AB846" t="s">
        <v>1466</v>
      </c>
    </row>
    <row r="847" spans="1:28" x14ac:dyDescent="0.25">
      <c r="A847">
        <v>4276</v>
      </c>
      <c r="B847" t="str">
        <f t="shared" si="133"/>
        <v>070459000</v>
      </c>
      <c r="C847" t="s">
        <v>2992</v>
      </c>
      <c r="D847">
        <v>91310</v>
      </c>
      <c r="E847" t="str">
        <f>"070459107"</f>
        <v>070459107</v>
      </c>
      <c r="F847" t="s">
        <v>3025</v>
      </c>
      <c r="G847" t="s">
        <v>42</v>
      </c>
      <c r="H847" t="s">
        <v>3026</v>
      </c>
      <c r="I847" t="s">
        <v>3027</v>
      </c>
      <c r="J847" t="s">
        <v>315</v>
      </c>
      <c r="K847" t="str">
        <f>"6023042030"</f>
        <v>6023042030</v>
      </c>
      <c r="L847" t="str">
        <f>"3712"</f>
        <v>3712</v>
      </c>
      <c r="M847" t="str">
        <f>""</f>
        <v/>
      </c>
      <c r="N847" t="str">
        <f>""</f>
        <v/>
      </c>
      <c r="O847" t="s">
        <v>3028</v>
      </c>
      <c r="P847" t="s">
        <v>2996</v>
      </c>
      <c r="R847" t="s">
        <v>2997</v>
      </c>
      <c r="S847" t="s">
        <v>36</v>
      </c>
      <c r="T847" t="str">
        <f t="shared" si="134"/>
        <v>85339</v>
      </c>
      <c r="U847" t="str">
        <f>""</f>
        <v/>
      </c>
      <c r="V847" t="s">
        <v>3029</v>
      </c>
      <c r="X847" t="s">
        <v>2997</v>
      </c>
      <c r="Y847" t="s">
        <v>36</v>
      </c>
      <c r="Z847" t="str">
        <f t="shared" si="135"/>
        <v>85339</v>
      </c>
      <c r="AA847" t="str">
        <f>""</f>
        <v/>
      </c>
      <c r="AB847" t="s">
        <v>1466</v>
      </c>
    </row>
    <row r="848" spans="1:28" x14ac:dyDescent="0.25">
      <c r="A848">
        <v>4276</v>
      </c>
      <c r="B848" t="str">
        <f t="shared" si="133"/>
        <v>070459000</v>
      </c>
      <c r="C848" t="s">
        <v>2992</v>
      </c>
      <c r="D848">
        <v>756942</v>
      </c>
      <c r="E848" t="str">
        <f>"070459108"</f>
        <v>070459108</v>
      </c>
      <c r="F848" t="s">
        <v>3030</v>
      </c>
      <c r="G848" t="s">
        <v>42</v>
      </c>
      <c r="H848" t="s">
        <v>3031</v>
      </c>
      <c r="I848" t="s">
        <v>1590</v>
      </c>
      <c r="J848" t="s">
        <v>315</v>
      </c>
      <c r="K848" t="str">
        <f>"6023042040"</f>
        <v>6023042040</v>
      </c>
      <c r="L848" t="str">
        <f>"3812"</f>
        <v>3812</v>
      </c>
      <c r="M848" t="str">
        <f>""</f>
        <v/>
      </c>
      <c r="N848" t="str">
        <f>""</f>
        <v/>
      </c>
      <c r="O848" t="s">
        <v>3032</v>
      </c>
      <c r="P848" t="s">
        <v>2996</v>
      </c>
      <c r="R848" t="s">
        <v>2997</v>
      </c>
      <c r="S848" t="s">
        <v>36</v>
      </c>
      <c r="T848" t="str">
        <f t="shared" si="134"/>
        <v>85339</v>
      </c>
      <c r="U848" t="str">
        <f>""</f>
        <v/>
      </c>
      <c r="V848" t="s">
        <v>3033</v>
      </c>
      <c r="X848" t="s">
        <v>2997</v>
      </c>
      <c r="Y848" t="s">
        <v>36</v>
      </c>
      <c r="Z848" t="str">
        <f t="shared" si="135"/>
        <v>85339</v>
      </c>
      <c r="AA848" t="str">
        <f>""</f>
        <v/>
      </c>
      <c r="AB848" t="s">
        <v>1466</v>
      </c>
    </row>
    <row r="849" spans="1:28" x14ac:dyDescent="0.25">
      <c r="A849">
        <v>4277</v>
      </c>
      <c r="B849" t="str">
        <f>"070462000"</f>
        <v>070462000</v>
      </c>
      <c r="C849" t="s">
        <v>3034</v>
      </c>
      <c r="D849">
        <v>0</v>
      </c>
      <c r="E849" t="str">
        <f>""</f>
        <v/>
      </c>
      <c r="G849" t="s">
        <v>29</v>
      </c>
      <c r="H849" t="s">
        <v>3035</v>
      </c>
      <c r="I849" t="s">
        <v>3036</v>
      </c>
      <c r="J849" t="s">
        <v>898</v>
      </c>
      <c r="K849" t="str">
        <f>"6234785010"</f>
        <v>6234785010</v>
      </c>
      <c r="L849" t="str">
        <f>""</f>
        <v/>
      </c>
      <c r="M849" t="str">
        <f>"6234785006"</f>
        <v>6234785006</v>
      </c>
      <c r="N849" t="str">
        <f>""</f>
        <v/>
      </c>
      <c r="O849" t="s">
        <v>3037</v>
      </c>
      <c r="P849" t="s">
        <v>3038</v>
      </c>
      <c r="R849" t="s">
        <v>2633</v>
      </c>
      <c r="S849" t="s">
        <v>36</v>
      </c>
      <c r="T849" t="str">
        <f>"85353"</f>
        <v>85353</v>
      </c>
      <c r="U849" t="str">
        <f>""</f>
        <v/>
      </c>
      <c r="V849" t="s">
        <v>3038</v>
      </c>
      <c r="X849" t="s">
        <v>2633</v>
      </c>
      <c r="Y849" t="s">
        <v>36</v>
      </c>
      <c r="Z849" t="str">
        <f>"85353"</f>
        <v>85353</v>
      </c>
      <c r="AA849" t="str">
        <f>""</f>
        <v/>
      </c>
      <c r="AB849" t="s">
        <v>516</v>
      </c>
    </row>
    <row r="850" spans="1:28" x14ac:dyDescent="0.25">
      <c r="A850">
        <v>4277</v>
      </c>
      <c r="B850" t="str">
        <f>"070462000"</f>
        <v>070462000</v>
      </c>
      <c r="C850" t="s">
        <v>3034</v>
      </c>
      <c r="D850">
        <v>5359</v>
      </c>
      <c r="E850" t="str">
        <f>"070462101"</f>
        <v>070462101</v>
      </c>
      <c r="F850" t="s">
        <v>3039</v>
      </c>
      <c r="G850" t="s">
        <v>42</v>
      </c>
      <c r="H850" t="s">
        <v>2006</v>
      </c>
      <c r="I850" t="s">
        <v>3040</v>
      </c>
      <c r="J850" t="s">
        <v>118</v>
      </c>
      <c r="K850" t="str">
        <f>"6234785042"</f>
        <v>6234785042</v>
      </c>
      <c r="L850" t="str">
        <f>""</f>
        <v/>
      </c>
      <c r="M850" t="str">
        <f>"6234785006"</f>
        <v>6234785006</v>
      </c>
      <c r="N850" t="str">
        <f>""</f>
        <v/>
      </c>
      <c r="O850" t="s">
        <v>3041</v>
      </c>
      <c r="P850" t="s">
        <v>3042</v>
      </c>
      <c r="R850" t="s">
        <v>2633</v>
      </c>
      <c r="S850" t="s">
        <v>36</v>
      </c>
      <c r="T850" t="str">
        <f>"85353"</f>
        <v>85353</v>
      </c>
      <c r="U850" t="str">
        <f>""</f>
        <v/>
      </c>
      <c r="V850" t="s">
        <v>3042</v>
      </c>
      <c r="X850" t="s">
        <v>2633</v>
      </c>
      <c r="Y850" t="s">
        <v>36</v>
      </c>
      <c r="Z850" t="str">
        <f>"85353"</f>
        <v>85353</v>
      </c>
      <c r="AA850" t="str">
        <f>""</f>
        <v/>
      </c>
      <c r="AB850" t="s">
        <v>516</v>
      </c>
    </row>
    <row r="851" spans="1:28" x14ac:dyDescent="0.25">
      <c r="A851">
        <v>4277</v>
      </c>
      <c r="B851" t="str">
        <f>"070462000"</f>
        <v>070462000</v>
      </c>
      <c r="C851" t="s">
        <v>3034</v>
      </c>
      <c r="D851">
        <v>87523</v>
      </c>
      <c r="E851" t="str">
        <f>"070462102"</f>
        <v>070462102</v>
      </c>
      <c r="F851" t="s">
        <v>3043</v>
      </c>
      <c r="G851" t="s">
        <v>42</v>
      </c>
      <c r="H851" t="s">
        <v>3044</v>
      </c>
      <c r="I851" t="s">
        <v>3045</v>
      </c>
      <c r="J851" t="s">
        <v>195</v>
      </c>
      <c r="K851" t="str">
        <f>"6234785122"</f>
        <v>6234785122</v>
      </c>
      <c r="L851" t="str">
        <f>""</f>
        <v/>
      </c>
      <c r="M851" t="str">
        <f>"6234785006"</f>
        <v>6234785006</v>
      </c>
      <c r="N851" t="str">
        <f>""</f>
        <v/>
      </c>
      <c r="O851" t="s">
        <v>3046</v>
      </c>
      <c r="P851" t="s">
        <v>3047</v>
      </c>
      <c r="R851" t="s">
        <v>2633</v>
      </c>
      <c r="S851" t="s">
        <v>36</v>
      </c>
      <c r="T851" t="str">
        <f>"85353"</f>
        <v>85353</v>
      </c>
      <c r="U851" t="str">
        <f>""</f>
        <v/>
      </c>
      <c r="V851" t="s">
        <v>3047</v>
      </c>
      <c r="X851" t="s">
        <v>2633</v>
      </c>
      <c r="Y851" t="s">
        <v>36</v>
      </c>
      <c r="Z851" t="str">
        <f>"85353"</f>
        <v>85353</v>
      </c>
      <c r="AA851" t="str">
        <f>""</f>
        <v/>
      </c>
      <c r="AB851" t="s">
        <v>516</v>
      </c>
    </row>
    <row r="852" spans="1:28" x14ac:dyDescent="0.25">
      <c r="A852">
        <v>4277</v>
      </c>
      <c r="B852" t="str">
        <f>"070462000"</f>
        <v>070462000</v>
      </c>
      <c r="C852" t="s">
        <v>3034</v>
      </c>
      <c r="D852">
        <v>89592</v>
      </c>
      <c r="E852" t="str">
        <f>"070462103"</f>
        <v>070462103</v>
      </c>
      <c r="F852" t="s">
        <v>3048</v>
      </c>
      <c r="G852" t="s">
        <v>42</v>
      </c>
      <c r="H852" t="s">
        <v>549</v>
      </c>
      <c r="I852" t="s">
        <v>3049</v>
      </c>
      <c r="J852" t="s">
        <v>195</v>
      </c>
      <c r="K852" t="str">
        <f>"6234747033"</f>
        <v>6234747033</v>
      </c>
      <c r="L852" t="str">
        <f>""</f>
        <v/>
      </c>
      <c r="M852" t="str">
        <f>"6234785006"</f>
        <v>6234785006</v>
      </c>
      <c r="N852" t="str">
        <f>""</f>
        <v/>
      </c>
      <c r="O852" t="s">
        <v>3050</v>
      </c>
      <c r="P852" t="s">
        <v>3051</v>
      </c>
      <c r="R852" t="s">
        <v>2633</v>
      </c>
      <c r="S852" t="s">
        <v>36</v>
      </c>
      <c r="T852" t="str">
        <f>"85353"</f>
        <v>85353</v>
      </c>
      <c r="U852" t="str">
        <f>""</f>
        <v/>
      </c>
      <c r="V852" t="s">
        <v>3051</v>
      </c>
      <c r="X852" t="s">
        <v>2633</v>
      </c>
      <c r="Y852" t="s">
        <v>36</v>
      </c>
      <c r="Z852" t="str">
        <f>"85353"</f>
        <v>85353</v>
      </c>
      <c r="AA852" t="str">
        <f>""</f>
        <v/>
      </c>
      <c r="AB852" t="s">
        <v>516</v>
      </c>
    </row>
    <row r="853" spans="1:28" x14ac:dyDescent="0.25">
      <c r="A853">
        <v>4278</v>
      </c>
      <c r="B853" t="str">
        <f t="shared" ref="B853:B863" si="136">"070465000"</f>
        <v>070465000</v>
      </c>
      <c r="C853" t="s">
        <v>3052</v>
      </c>
      <c r="D853">
        <v>0</v>
      </c>
      <c r="E853" t="str">
        <f>""</f>
        <v/>
      </c>
      <c r="G853" t="s">
        <v>29</v>
      </c>
      <c r="H853" t="s">
        <v>3053</v>
      </c>
      <c r="I853" t="s">
        <v>3054</v>
      </c>
      <c r="J853" t="s">
        <v>3055</v>
      </c>
      <c r="K853" t="str">
        <f>"6234785610"</f>
        <v>6234785610</v>
      </c>
      <c r="L853" t="str">
        <f>""</f>
        <v/>
      </c>
      <c r="M853" t="str">
        <f>"6234785620"</f>
        <v>6234785620</v>
      </c>
      <c r="N853" t="str">
        <f>""</f>
        <v/>
      </c>
      <c r="O853" t="s">
        <v>3056</v>
      </c>
      <c r="P853" t="s">
        <v>3057</v>
      </c>
      <c r="R853" t="s">
        <v>3058</v>
      </c>
      <c r="S853" t="s">
        <v>36</v>
      </c>
      <c r="T853" t="str">
        <f t="shared" ref="T853:T863" si="137">"85329"</f>
        <v>85329</v>
      </c>
      <c r="U853" t="str">
        <f>""</f>
        <v/>
      </c>
      <c r="V853" t="s">
        <v>3059</v>
      </c>
      <c r="X853" t="s">
        <v>2893</v>
      </c>
      <c r="Y853" t="s">
        <v>36</v>
      </c>
      <c r="Z853" t="str">
        <f>"85323"</f>
        <v>85323</v>
      </c>
      <c r="AA853" t="str">
        <f>""</f>
        <v/>
      </c>
      <c r="AB853" t="s">
        <v>2345</v>
      </c>
    </row>
    <row r="854" spans="1:28" x14ac:dyDescent="0.25">
      <c r="A854">
        <v>4278</v>
      </c>
      <c r="B854" t="str">
        <f t="shared" si="136"/>
        <v>070465000</v>
      </c>
      <c r="C854" t="s">
        <v>3052</v>
      </c>
      <c r="D854">
        <v>5360</v>
      </c>
      <c r="E854" t="str">
        <f>"070465101"</f>
        <v>070465101</v>
      </c>
      <c r="F854" t="s">
        <v>3060</v>
      </c>
      <c r="G854" t="s">
        <v>42</v>
      </c>
      <c r="H854" t="s">
        <v>3061</v>
      </c>
      <c r="I854" t="s">
        <v>3062</v>
      </c>
      <c r="J854" t="s">
        <v>3063</v>
      </c>
      <c r="K854" t="str">
        <f t="shared" ref="K854:K863" si="138">"6234785627"</f>
        <v>6234785627</v>
      </c>
      <c r="L854" t="str">
        <f>""</f>
        <v/>
      </c>
      <c r="M854" t="str">
        <f t="shared" ref="M854:M863" si="139">"6234785622"</f>
        <v>6234785622</v>
      </c>
      <c r="N854" t="str">
        <f>""</f>
        <v/>
      </c>
      <c r="O854" t="s">
        <v>3064</v>
      </c>
      <c r="P854" t="s">
        <v>3065</v>
      </c>
      <c r="R854" t="s">
        <v>3058</v>
      </c>
      <c r="S854" t="s">
        <v>36</v>
      </c>
      <c r="T854" t="str">
        <f t="shared" si="137"/>
        <v>85329</v>
      </c>
      <c r="U854" t="str">
        <f>""</f>
        <v/>
      </c>
      <c r="V854" t="s">
        <v>3066</v>
      </c>
      <c r="X854" t="s">
        <v>2893</v>
      </c>
      <c r="Y854" t="s">
        <v>36</v>
      </c>
      <c r="Z854" t="str">
        <f>"85323"</f>
        <v>85323</v>
      </c>
      <c r="AA854" t="str">
        <f>""</f>
        <v/>
      </c>
      <c r="AB854" t="s">
        <v>2345</v>
      </c>
    </row>
    <row r="855" spans="1:28" x14ac:dyDescent="0.25">
      <c r="A855">
        <v>4278</v>
      </c>
      <c r="B855" t="str">
        <f t="shared" si="136"/>
        <v>070465000</v>
      </c>
      <c r="C855" t="s">
        <v>3052</v>
      </c>
      <c r="D855">
        <v>7408</v>
      </c>
      <c r="E855" t="str">
        <f>"072190001"</f>
        <v>072190001</v>
      </c>
      <c r="F855" t="s">
        <v>3067</v>
      </c>
      <c r="G855" t="s">
        <v>42</v>
      </c>
      <c r="H855" t="s">
        <v>3061</v>
      </c>
      <c r="I855" t="s">
        <v>3062</v>
      </c>
      <c r="J855" t="s">
        <v>3063</v>
      </c>
      <c r="K855" t="str">
        <f t="shared" si="138"/>
        <v>6234785627</v>
      </c>
      <c r="L855" t="str">
        <f>""</f>
        <v/>
      </c>
      <c r="M855" t="str">
        <f t="shared" si="139"/>
        <v>6234785622</v>
      </c>
      <c r="N855" t="str">
        <f>""</f>
        <v/>
      </c>
      <c r="O855" t="s">
        <v>3064</v>
      </c>
      <c r="P855" t="s">
        <v>3065</v>
      </c>
      <c r="R855" t="s">
        <v>3058</v>
      </c>
      <c r="S855" t="s">
        <v>36</v>
      </c>
      <c r="T855" t="str">
        <f t="shared" si="137"/>
        <v>85329</v>
      </c>
      <c r="U855" t="str">
        <f>""</f>
        <v/>
      </c>
      <c r="V855" t="s">
        <v>3068</v>
      </c>
      <c r="X855" t="s">
        <v>1165</v>
      </c>
      <c r="Y855" t="s">
        <v>36</v>
      </c>
      <c r="Z855" t="str">
        <f>"85381"</f>
        <v>85381</v>
      </c>
      <c r="AA855" t="str">
        <f>""</f>
        <v/>
      </c>
      <c r="AB855" t="s">
        <v>2345</v>
      </c>
    </row>
    <row r="856" spans="1:28" x14ac:dyDescent="0.25">
      <c r="A856">
        <v>4278</v>
      </c>
      <c r="B856" t="str">
        <f t="shared" si="136"/>
        <v>070465000</v>
      </c>
      <c r="C856" t="s">
        <v>3052</v>
      </c>
      <c r="D856">
        <v>79618</v>
      </c>
      <c r="E856" t="str">
        <f>"070465104"</f>
        <v>070465104</v>
      </c>
      <c r="F856" t="s">
        <v>3069</v>
      </c>
      <c r="G856" t="s">
        <v>42</v>
      </c>
      <c r="H856" t="s">
        <v>3061</v>
      </c>
      <c r="I856" t="s">
        <v>3062</v>
      </c>
      <c r="J856" t="s">
        <v>3063</v>
      </c>
      <c r="K856" t="str">
        <f t="shared" si="138"/>
        <v>6234785627</v>
      </c>
      <c r="L856" t="str">
        <f>""</f>
        <v/>
      </c>
      <c r="M856" t="str">
        <f t="shared" si="139"/>
        <v>6234785622</v>
      </c>
      <c r="N856" t="str">
        <f>""</f>
        <v/>
      </c>
      <c r="O856" t="s">
        <v>3064</v>
      </c>
      <c r="P856" t="s">
        <v>3065</v>
      </c>
      <c r="R856" t="s">
        <v>3058</v>
      </c>
      <c r="S856" t="s">
        <v>36</v>
      </c>
      <c r="T856" t="str">
        <f t="shared" si="137"/>
        <v>85329</v>
      </c>
      <c r="U856" t="str">
        <f>""</f>
        <v/>
      </c>
      <c r="V856" t="s">
        <v>3070</v>
      </c>
      <c r="X856" t="s">
        <v>2893</v>
      </c>
      <c r="Y856" t="s">
        <v>36</v>
      </c>
      <c r="Z856" t="str">
        <f>"85323"</f>
        <v>85323</v>
      </c>
      <c r="AA856" t="str">
        <f>""</f>
        <v/>
      </c>
      <c r="AB856" t="s">
        <v>2345</v>
      </c>
    </row>
    <row r="857" spans="1:28" x14ac:dyDescent="0.25">
      <c r="A857">
        <v>4278</v>
      </c>
      <c r="B857" t="str">
        <f t="shared" si="136"/>
        <v>070465000</v>
      </c>
      <c r="C857" t="s">
        <v>3052</v>
      </c>
      <c r="D857">
        <v>85852</v>
      </c>
      <c r="E857" t="str">
        <f>"070465105"</f>
        <v>070465105</v>
      </c>
      <c r="F857" t="s">
        <v>3071</v>
      </c>
      <c r="G857" t="s">
        <v>42</v>
      </c>
      <c r="H857" t="s">
        <v>3061</v>
      </c>
      <c r="I857" t="s">
        <v>3062</v>
      </c>
      <c r="J857" t="s">
        <v>3063</v>
      </c>
      <c r="K857" t="str">
        <f t="shared" si="138"/>
        <v>6234785627</v>
      </c>
      <c r="L857" t="str">
        <f>""</f>
        <v/>
      </c>
      <c r="M857" t="str">
        <f t="shared" si="139"/>
        <v>6234785622</v>
      </c>
      <c r="N857" t="str">
        <f>""</f>
        <v/>
      </c>
      <c r="O857" t="s">
        <v>3064</v>
      </c>
      <c r="P857" t="s">
        <v>3065</v>
      </c>
      <c r="R857" t="s">
        <v>3058</v>
      </c>
      <c r="S857" t="s">
        <v>36</v>
      </c>
      <c r="T857" t="str">
        <f t="shared" si="137"/>
        <v>85329</v>
      </c>
      <c r="U857" t="str">
        <f>""</f>
        <v/>
      </c>
      <c r="V857" t="s">
        <v>3072</v>
      </c>
      <c r="X857" t="s">
        <v>2893</v>
      </c>
      <c r="Y857" t="s">
        <v>36</v>
      </c>
      <c r="Z857" t="str">
        <f>"85323"</f>
        <v>85323</v>
      </c>
      <c r="AA857" t="str">
        <f>""</f>
        <v/>
      </c>
      <c r="AB857" t="s">
        <v>2345</v>
      </c>
    </row>
    <row r="858" spans="1:28" x14ac:dyDescent="0.25">
      <c r="A858">
        <v>4278</v>
      </c>
      <c r="B858" t="str">
        <f t="shared" si="136"/>
        <v>070465000</v>
      </c>
      <c r="C858" t="s">
        <v>3052</v>
      </c>
      <c r="D858">
        <v>87058</v>
      </c>
      <c r="E858" t="str">
        <f>"072190002"</f>
        <v>072190002</v>
      </c>
      <c r="F858" t="s">
        <v>3073</v>
      </c>
      <c r="G858" t="s">
        <v>42</v>
      </c>
      <c r="H858" t="s">
        <v>3061</v>
      </c>
      <c r="I858" t="s">
        <v>3062</v>
      </c>
      <c r="J858" t="s">
        <v>3063</v>
      </c>
      <c r="K858" t="str">
        <f t="shared" si="138"/>
        <v>6234785627</v>
      </c>
      <c r="L858" t="str">
        <f>""</f>
        <v/>
      </c>
      <c r="M858" t="str">
        <f t="shared" si="139"/>
        <v>6234785622</v>
      </c>
      <c r="N858" t="str">
        <f>""</f>
        <v/>
      </c>
      <c r="O858" t="s">
        <v>3064</v>
      </c>
      <c r="P858" t="s">
        <v>3057</v>
      </c>
      <c r="R858" t="s">
        <v>3058</v>
      </c>
      <c r="S858" t="s">
        <v>36</v>
      </c>
      <c r="T858" t="str">
        <f t="shared" si="137"/>
        <v>85329</v>
      </c>
      <c r="U858" t="str">
        <f>""</f>
        <v/>
      </c>
      <c r="V858" t="s">
        <v>3074</v>
      </c>
      <c r="X858" t="s">
        <v>967</v>
      </c>
      <c r="Y858" t="s">
        <v>36</v>
      </c>
      <c r="Z858" t="str">
        <f>"85281"</f>
        <v>85281</v>
      </c>
      <c r="AA858" t="str">
        <f>""</f>
        <v/>
      </c>
      <c r="AB858" t="s">
        <v>2345</v>
      </c>
    </row>
    <row r="859" spans="1:28" x14ac:dyDescent="0.25">
      <c r="A859">
        <v>4278</v>
      </c>
      <c r="B859" t="str">
        <f t="shared" si="136"/>
        <v>070465000</v>
      </c>
      <c r="C859" t="s">
        <v>3052</v>
      </c>
      <c r="D859">
        <v>87476</v>
      </c>
      <c r="E859" t="str">
        <f>"070465106"</f>
        <v>070465106</v>
      </c>
      <c r="F859" t="s">
        <v>3075</v>
      </c>
      <c r="G859" t="s">
        <v>42</v>
      </c>
      <c r="H859" t="s">
        <v>3061</v>
      </c>
      <c r="I859" t="s">
        <v>3062</v>
      </c>
      <c r="J859" t="s">
        <v>3063</v>
      </c>
      <c r="K859" t="str">
        <f t="shared" si="138"/>
        <v>6234785627</v>
      </c>
      <c r="L859" t="str">
        <f>""</f>
        <v/>
      </c>
      <c r="M859" t="str">
        <f t="shared" si="139"/>
        <v>6234785622</v>
      </c>
      <c r="N859" t="str">
        <f>""</f>
        <v/>
      </c>
      <c r="O859" t="s">
        <v>3064</v>
      </c>
      <c r="P859" t="s">
        <v>3057</v>
      </c>
      <c r="R859" t="s">
        <v>3058</v>
      </c>
      <c r="S859" t="s">
        <v>36</v>
      </c>
      <c r="T859" t="str">
        <f t="shared" si="137"/>
        <v>85329</v>
      </c>
      <c r="U859" t="str">
        <f>""</f>
        <v/>
      </c>
      <c r="V859" t="s">
        <v>3076</v>
      </c>
      <c r="X859" t="s">
        <v>2633</v>
      </c>
      <c r="Y859" t="s">
        <v>36</v>
      </c>
      <c r="Z859" t="str">
        <f>"85353"</f>
        <v>85353</v>
      </c>
      <c r="AA859" t="str">
        <f>""</f>
        <v/>
      </c>
      <c r="AB859" t="s">
        <v>2345</v>
      </c>
    </row>
    <row r="860" spans="1:28" x14ac:dyDescent="0.25">
      <c r="A860">
        <v>4278</v>
      </c>
      <c r="B860" t="str">
        <f t="shared" si="136"/>
        <v>070465000</v>
      </c>
      <c r="C860" t="s">
        <v>3052</v>
      </c>
      <c r="D860">
        <v>89608</v>
      </c>
      <c r="E860" t="str">
        <f>"070465107"</f>
        <v>070465107</v>
      </c>
      <c r="F860" t="s">
        <v>3077</v>
      </c>
      <c r="G860" t="s">
        <v>42</v>
      </c>
      <c r="H860" t="s">
        <v>3061</v>
      </c>
      <c r="I860" t="s">
        <v>3062</v>
      </c>
      <c r="J860" t="s">
        <v>3063</v>
      </c>
      <c r="K860" t="str">
        <f t="shared" si="138"/>
        <v>6234785627</v>
      </c>
      <c r="L860" t="str">
        <f>""</f>
        <v/>
      </c>
      <c r="M860" t="str">
        <f t="shared" si="139"/>
        <v>6234785622</v>
      </c>
      <c r="N860" t="str">
        <f>""</f>
        <v/>
      </c>
      <c r="O860" t="s">
        <v>3064</v>
      </c>
      <c r="P860" t="s">
        <v>3065</v>
      </c>
      <c r="R860" t="s">
        <v>3058</v>
      </c>
      <c r="S860" t="s">
        <v>36</v>
      </c>
      <c r="T860" t="str">
        <f t="shared" si="137"/>
        <v>85329</v>
      </c>
      <c r="U860" t="str">
        <f>""</f>
        <v/>
      </c>
      <c r="V860" t="s">
        <v>3078</v>
      </c>
      <c r="X860" t="s">
        <v>2893</v>
      </c>
      <c r="Y860" t="s">
        <v>36</v>
      </c>
      <c r="Z860" t="str">
        <f>"85323"</f>
        <v>85323</v>
      </c>
      <c r="AA860" t="str">
        <f>""</f>
        <v/>
      </c>
      <c r="AB860" t="s">
        <v>2345</v>
      </c>
    </row>
    <row r="861" spans="1:28" x14ac:dyDescent="0.25">
      <c r="A861">
        <v>4278</v>
      </c>
      <c r="B861" t="str">
        <f t="shared" si="136"/>
        <v>070465000</v>
      </c>
      <c r="C861" t="s">
        <v>3052</v>
      </c>
      <c r="D861">
        <v>89924</v>
      </c>
      <c r="E861" t="str">
        <f>"070465108"</f>
        <v>070465108</v>
      </c>
      <c r="F861" t="s">
        <v>3079</v>
      </c>
      <c r="G861" t="s">
        <v>42</v>
      </c>
      <c r="H861" t="s">
        <v>3061</v>
      </c>
      <c r="I861" t="s">
        <v>3062</v>
      </c>
      <c r="J861" t="s">
        <v>3063</v>
      </c>
      <c r="K861" t="str">
        <f t="shared" si="138"/>
        <v>6234785627</v>
      </c>
      <c r="L861" t="str">
        <f>""</f>
        <v/>
      </c>
      <c r="M861" t="str">
        <f t="shared" si="139"/>
        <v>6234785622</v>
      </c>
      <c r="N861" t="str">
        <f>""</f>
        <v/>
      </c>
      <c r="O861" t="s">
        <v>3064</v>
      </c>
      <c r="P861" t="s">
        <v>3065</v>
      </c>
      <c r="R861" t="s">
        <v>3058</v>
      </c>
      <c r="S861" t="s">
        <v>36</v>
      </c>
      <c r="T861" t="str">
        <f t="shared" si="137"/>
        <v>85329</v>
      </c>
      <c r="U861" t="str">
        <f>""</f>
        <v/>
      </c>
      <c r="V861" t="s">
        <v>3080</v>
      </c>
      <c r="X861" t="s">
        <v>2633</v>
      </c>
      <c r="Y861" t="s">
        <v>36</v>
      </c>
      <c r="Z861" t="str">
        <f>"85353"</f>
        <v>85353</v>
      </c>
      <c r="AA861" t="str">
        <f>""</f>
        <v/>
      </c>
      <c r="AB861" t="s">
        <v>2345</v>
      </c>
    </row>
    <row r="862" spans="1:28" x14ac:dyDescent="0.25">
      <c r="A862">
        <v>4278</v>
      </c>
      <c r="B862" t="str">
        <f t="shared" si="136"/>
        <v>070465000</v>
      </c>
      <c r="C862" t="s">
        <v>3052</v>
      </c>
      <c r="D862">
        <v>90771</v>
      </c>
      <c r="E862" t="str">
        <f>"072190003"</f>
        <v>072190003</v>
      </c>
      <c r="F862" t="s">
        <v>3081</v>
      </c>
      <c r="G862" t="s">
        <v>42</v>
      </c>
      <c r="H862" t="s">
        <v>3061</v>
      </c>
      <c r="I862" t="s">
        <v>3062</v>
      </c>
      <c r="J862" t="s">
        <v>3063</v>
      </c>
      <c r="K862" t="str">
        <f t="shared" si="138"/>
        <v>6234785627</v>
      </c>
      <c r="L862" t="str">
        <f>""</f>
        <v/>
      </c>
      <c r="M862" t="str">
        <f t="shared" si="139"/>
        <v>6234785622</v>
      </c>
      <c r="N862" t="str">
        <f>""</f>
        <v/>
      </c>
      <c r="O862" t="s">
        <v>3064</v>
      </c>
      <c r="P862" t="s">
        <v>3065</v>
      </c>
      <c r="R862" t="s">
        <v>3058</v>
      </c>
      <c r="S862" t="s">
        <v>36</v>
      </c>
      <c r="T862" t="str">
        <f t="shared" si="137"/>
        <v>85329</v>
      </c>
      <c r="U862" t="str">
        <f>""</f>
        <v/>
      </c>
      <c r="V862" t="s">
        <v>3082</v>
      </c>
      <c r="X862" t="s">
        <v>964</v>
      </c>
      <c r="Y862" t="s">
        <v>36</v>
      </c>
      <c r="Z862" t="str">
        <f>"85037"</f>
        <v>85037</v>
      </c>
      <c r="AA862" t="str">
        <f>""</f>
        <v/>
      </c>
      <c r="AB862" t="s">
        <v>2345</v>
      </c>
    </row>
    <row r="863" spans="1:28" x14ac:dyDescent="0.25">
      <c r="A863">
        <v>4278</v>
      </c>
      <c r="B863" t="str">
        <f t="shared" si="136"/>
        <v>070465000</v>
      </c>
      <c r="C863" t="s">
        <v>3052</v>
      </c>
      <c r="D863">
        <v>530879</v>
      </c>
      <c r="E863" t="str">
        <f>"070465109"</f>
        <v>070465109</v>
      </c>
      <c r="F863" t="s">
        <v>3083</v>
      </c>
      <c r="G863" t="s">
        <v>42</v>
      </c>
      <c r="H863" t="s">
        <v>3061</v>
      </c>
      <c r="I863" t="s">
        <v>3062</v>
      </c>
      <c r="J863" t="s">
        <v>3063</v>
      </c>
      <c r="K863" t="str">
        <f t="shared" si="138"/>
        <v>6234785627</v>
      </c>
      <c r="L863" t="str">
        <f>""</f>
        <v/>
      </c>
      <c r="M863" t="str">
        <f t="shared" si="139"/>
        <v>6234785622</v>
      </c>
      <c r="N863" t="str">
        <f>""</f>
        <v/>
      </c>
      <c r="O863" t="s">
        <v>3064</v>
      </c>
      <c r="P863" t="s">
        <v>3084</v>
      </c>
      <c r="R863" t="s">
        <v>3058</v>
      </c>
      <c r="S863" t="s">
        <v>36</v>
      </c>
      <c r="T863" t="str">
        <f t="shared" si="137"/>
        <v>85329</v>
      </c>
      <c r="U863" t="str">
        <f>""</f>
        <v/>
      </c>
      <c r="V863" t="s">
        <v>3085</v>
      </c>
      <c r="X863" t="s">
        <v>2633</v>
      </c>
      <c r="Y863" t="s">
        <v>36</v>
      </c>
      <c r="Z863" t="str">
        <f>"85353"</f>
        <v>85353</v>
      </c>
      <c r="AA863" t="str">
        <f>""</f>
        <v/>
      </c>
      <c r="AB863" t="s">
        <v>2345</v>
      </c>
    </row>
    <row r="864" spans="1:28" x14ac:dyDescent="0.25">
      <c r="A864">
        <v>4279</v>
      </c>
      <c r="B864" t="str">
        <f t="shared" ref="B864:B883" si="140">"070466000"</f>
        <v>070466000</v>
      </c>
      <c r="C864" t="s">
        <v>3086</v>
      </c>
      <c r="D864">
        <v>0</v>
      </c>
      <c r="E864" t="str">
        <f>""</f>
        <v/>
      </c>
      <c r="G864" t="s">
        <v>29</v>
      </c>
      <c r="H864" t="s">
        <v>3087</v>
      </c>
      <c r="I864" t="s">
        <v>3088</v>
      </c>
      <c r="J864" t="s">
        <v>3089</v>
      </c>
      <c r="K864" t="str">
        <f>"6022434830"</f>
        <v>6022434830</v>
      </c>
      <c r="L864" t="str">
        <f>""</f>
        <v/>
      </c>
      <c r="M864" t="str">
        <f t="shared" ref="M864:M870" si="141">"6023054701"</f>
        <v>6023054701</v>
      </c>
      <c r="N864" t="str">
        <f>""</f>
        <v/>
      </c>
      <c r="O864" t="s">
        <v>3090</v>
      </c>
      <c r="P864" t="s">
        <v>3091</v>
      </c>
      <c r="R864" t="s">
        <v>964</v>
      </c>
      <c r="S864" t="s">
        <v>36</v>
      </c>
      <c r="T864" t="str">
        <f t="shared" ref="T864:T870" si="142">"85042"</f>
        <v>85042</v>
      </c>
      <c r="U864" t="str">
        <f>""</f>
        <v/>
      </c>
      <c r="V864" t="s">
        <v>3091</v>
      </c>
      <c r="X864" t="s">
        <v>964</v>
      </c>
      <c r="Y864" t="s">
        <v>36</v>
      </c>
      <c r="Z864" t="str">
        <f>"85042"</f>
        <v>85042</v>
      </c>
      <c r="AA864" t="str">
        <f>""</f>
        <v/>
      </c>
      <c r="AB864" t="s">
        <v>56</v>
      </c>
    </row>
    <row r="865" spans="1:28" x14ac:dyDescent="0.25">
      <c r="A865">
        <v>4279</v>
      </c>
      <c r="B865" t="str">
        <f t="shared" si="140"/>
        <v>070466000</v>
      </c>
      <c r="C865" t="s">
        <v>3086</v>
      </c>
      <c r="D865">
        <v>5363</v>
      </c>
      <c r="E865" t="str">
        <f>"070466002"</f>
        <v>070466002</v>
      </c>
      <c r="F865" t="s">
        <v>3092</v>
      </c>
      <c r="G865" t="s">
        <v>42</v>
      </c>
      <c r="H865" t="s">
        <v>3093</v>
      </c>
      <c r="I865" t="s">
        <v>417</v>
      </c>
      <c r="J865" t="s">
        <v>315</v>
      </c>
      <c r="K865" t="str">
        <f>"6022324944"</f>
        <v>6022324944</v>
      </c>
      <c r="L865" t="str">
        <f>""</f>
        <v/>
      </c>
      <c r="M865" t="str">
        <f t="shared" si="141"/>
        <v>6023054701</v>
      </c>
      <c r="N865" t="str">
        <f>""</f>
        <v/>
      </c>
      <c r="O865" t="s">
        <v>3094</v>
      </c>
      <c r="P865" t="s">
        <v>3091</v>
      </c>
      <c r="R865" t="s">
        <v>964</v>
      </c>
      <c r="S865" t="s">
        <v>36</v>
      </c>
      <c r="T865" t="str">
        <f t="shared" si="142"/>
        <v>85042</v>
      </c>
      <c r="U865" t="str">
        <f>""</f>
        <v/>
      </c>
      <c r="V865" t="s">
        <v>3095</v>
      </c>
      <c r="X865" t="s">
        <v>964</v>
      </c>
      <c r="Y865" t="s">
        <v>36</v>
      </c>
      <c r="Z865" t="str">
        <f>"85040"</f>
        <v>85040</v>
      </c>
      <c r="AA865" t="str">
        <f>""</f>
        <v/>
      </c>
      <c r="AB865" t="s">
        <v>56</v>
      </c>
    </row>
    <row r="866" spans="1:28" x14ac:dyDescent="0.25">
      <c r="A866">
        <v>4279</v>
      </c>
      <c r="B866" t="str">
        <f t="shared" si="140"/>
        <v>070466000</v>
      </c>
      <c r="C866" t="s">
        <v>3086</v>
      </c>
      <c r="D866">
        <v>5364</v>
      </c>
      <c r="E866" t="str">
        <f>"070466003"</f>
        <v>070466003</v>
      </c>
      <c r="F866" t="s">
        <v>3096</v>
      </c>
      <c r="G866" t="s">
        <v>42</v>
      </c>
      <c r="H866" t="s">
        <v>416</v>
      </c>
      <c r="I866" t="s">
        <v>3097</v>
      </c>
      <c r="J866" t="s">
        <v>315</v>
      </c>
      <c r="K866" t="str">
        <f>"6022324954"</f>
        <v>6022324954</v>
      </c>
      <c r="L866" t="str">
        <f>""</f>
        <v/>
      </c>
      <c r="M866" t="str">
        <f t="shared" si="141"/>
        <v>6023054701</v>
      </c>
      <c r="N866" t="str">
        <f>""</f>
        <v/>
      </c>
      <c r="O866" t="s">
        <v>3098</v>
      </c>
      <c r="P866" t="s">
        <v>3099</v>
      </c>
      <c r="R866" t="s">
        <v>964</v>
      </c>
      <c r="S866" t="s">
        <v>36</v>
      </c>
      <c r="T866" t="str">
        <f t="shared" si="142"/>
        <v>85042</v>
      </c>
      <c r="U866" t="str">
        <f>""</f>
        <v/>
      </c>
      <c r="V866" t="s">
        <v>3100</v>
      </c>
      <c r="X866" t="s">
        <v>964</v>
      </c>
      <c r="Y866" t="s">
        <v>36</v>
      </c>
      <c r="Z866" t="str">
        <f>"85040"</f>
        <v>85040</v>
      </c>
      <c r="AA866" t="str">
        <f>""</f>
        <v/>
      </c>
      <c r="AB866" t="s">
        <v>56</v>
      </c>
    </row>
    <row r="867" spans="1:28" x14ac:dyDescent="0.25">
      <c r="A867">
        <v>4279</v>
      </c>
      <c r="B867" t="str">
        <f t="shared" si="140"/>
        <v>070466000</v>
      </c>
      <c r="C867" t="s">
        <v>3086</v>
      </c>
      <c r="D867">
        <v>5365</v>
      </c>
      <c r="E867" t="str">
        <f>"070466004"</f>
        <v>070466004</v>
      </c>
      <c r="F867" t="s">
        <v>3101</v>
      </c>
      <c r="G867" t="s">
        <v>42</v>
      </c>
      <c r="H867" t="s">
        <v>3102</v>
      </c>
      <c r="I867" t="s">
        <v>3103</v>
      </c>
      <c r="J867" t="s">
        <v>315</v>
      </c>
      <c r="K867" t="str">
        <f>"6022324964"</f>
        <v>6022324964</v>
      </c>
      <c r="L867" t="str">
        <f>""</f>
        <v/>
      </c>
      <c r="M867" t="str">
        <f t="shared" si="141"/>
        <v>6023054701</v>
      </c>
      <c r="N867" t="str">
        <f>""</f>
        <v/>
      </c>
      <c r="O867" t="s">
        <v>3104</v>
      </c>
      <c r="P867" t="s">
        <v>3091</v>
      </c>
      <c r="R867" t="s">
        <v>964</v>
      </c>
      <c r="S867" t="s">
        <v>36</v>
      </c>
      <c r="T867" t="str">
        <f t="shared" si="142"/>
        <v>85042</v>
      </c>
      <c r="U867" t="str">
        <f>""</f>
        <v/>
      </c>
      <c r="V867" t="s">
        <v>3105</v>
      </c>
      <c r="X867" t="s">
        <v>964</v>
      </c>
      <c r="Y867" t="s">
        <v>36</v>
      </c>
      <c r="Z867" t="str">
        <f>"85041"</f>
        <v>85041</v>
      </c>
      <c r="AA867" t="str">
        <f>""</f>
        <v/>
      </c>
      <c r="AB867" t="s">
        <v>56</v>
      </c>
    </row>
    <row r="868" spans="1:28" x14ac:dyDescent="0.25">
      <c r="A868">
        <v>4279</v>
      </c>
      <c r="B868" t="str">
        <f t="shared" si="140"/>
        <v>070466000</v>
      </c>
      <c r="C868" t="s">
        <v>3086</v>
      </c>
      <c r="D868">
        <v>5367</v>
      </c>
      <c r="E868" t="str">
        <f>"070466006"</f>
        <v>070466006</v>
      </c>
      <c r="F868" t="s">
        <v>3106</v>
      </c>
      <c r="G868" t="s">
        <v>42</v>
      </c>
      <c r="H868" t="s">
        <v>109</v>
      </c>
      <c r="I868" t="s">
        <v>3107</v>
      </c>
      <c r="J868" t="s">
        <v>315</v>
      </c>
      <c r="K868" t="str">
        <f>"6022324984"</f>
        <v>6022324984</v>
      </c>
      <c r="L868" t="str">
        <f>""</f>
        <v/>
      </c>
      <c r="M868" t="str">
        <f t="shared" si="141"/>
        <v>6023054701</v>
      </c>
      <c r="N868" t="str">
        <f>""</f>
        <v/>
      </c>
      <c r="O868" t="s">
        <v>3108</v>
      </c>
      <c r="P868" t="s">
        <v>3091</v>
      </c>
      <c r="R868" t="s">
        <v>964</v>
      </c>
      <c r="S868" t="s">
        <v>36</v>
      </c>
      <c r="T868" t="str">
        <f t="shared" si="142"/>
        <v>85042</v>
      </c>
      <c r="U868" t="str">
        <f>""</f>
        <v/>
      </c>
      <c r="V868" t="s">
        <v>3109</v>
      </c>
      <c r="X868" t="s">
        <v>964</v>
      </c>
      <c r="Y868" t="s">
        <v>36</v>
      </c>
      <c r="Z868" t="str">
        <f>"85041"</f>
        <v>85041</v>
      </c>
      <c r="AA868" t="str">
        <f>""</f>
        <v/>
      </c>
      <c r="AB868" t="s">
        <v>56</v>
      </c>
    </row>
    <row r="869" spans="1:28" x14ac:dyDescent="0.25">
      <c r="A869">
        <v>4279</v>
      </c>
      <c r="B869" t="str">
        <f t="shared" si="140"/>
        <v>070466000</v>
      </c>
      <c r="C869" t="s">
        <v>3086</v>
      </c>
      <c r="D869">
        <v>5368</v>
      </c>
      <c r="E869" t="str">
        <f>"070466007"</f>
        <v>070466007</v>
      </c>
      <c r="F869" t="s">
        <v>3110</v>
      </c>
      <c r="G869" t="s">
        <v>42</v>
      </c>
      <c r="H869" t="s">
        <v>3111</v>
      </c>
      <c r="I869" t="s">
        <v>3112</v>
      </c>
      <c r="J869" t="s">
        <v>315</v>
      </c>
      <c r="K869" t="str">
        <f>"6022324994"</f>
        <v>6022324994</v>
      </c>
      <c r="L869" t="str">
        <f>""</f>
        <v/>
      </c>
      <c r="M869" t="str">
        <f t="shared" si="141"/>
        <v>6023054701</v>
      </c>
      <c r="N869" t="str">
        <f>""</f>
        <v/>
      </c>
      <c r="O869" t="s">
        <v>3113</v>
      </c>
      <c r="P869" t="s">
        <v>3091</v>
      </c>
      <c r="R869" t="s">
        <v>964</v>
      </c>
      <c r="S869" t="s">
        <v>36</v>
      </c>
      <c r="T869" t="str">
        <f t="shared" si="142"/>
        <v>85042</v>
      </c>
      <c r="U869" t="str">
        <f>""</f>
        <v/>
      </c>
      <c r="V869" t="s">
        <v>3114</v>
      </c>
      <c r="X869" t="s">
        <v>964</v>
      </c>
      <c r="Y869" t="s">
        <v>36</v>
      </c>
      <c r="Z869" t="str">
        <f>"85041"</f>
        <v>85041</v>
      </c>
      <c r="AA869" t="str">
        <f>""</f>
        <v/>
      </c>
      <c r="AB869" t="s">
        <v>56</v>
      </c>
    </row>
    <row r="870" spans="1:28" x14ac:dyDescent="0.25">
      <c r="A870">
        <v>4279</v>
      </c>
      <c r="B870" t="str">
        <f t="shared" si="140"/>
        <v>070466000</v>
      </c>
      <c r="C870" t="s">
        <v>3086</v>
      </c>
      <c r="D870">
        <v>5370</v>
      </c>
      <c r="E870" t="str">
        <f>"070466009"</f>
        <v>070466009</v>
      </c>
      <c r="F870" t="s">
        <v>3115</v>
      </c>
      <c r="G870" t="s">
        <v>42</v>
      </c>
      <c r="H870" t="s">
        <v>530</v>
      </c>
      <c r="I870" t="s">
        <v>1590</v>
      </c>
      <c r="J870" t="s">
        <v>315</v>
      </c>
      <c r="K870" t="str">
        <f>"6022324920"</f>
        <v>6022324920</v>
      </c>
      <c r="L870" t="str">
        <f>"10912"</f>
        <v>10912</v>
      </c>
      <c r="M870" t="str">
        <f t="shared" si="141"/>
        <v>6023054701</v>
      </c>
      <c r="N870" t="str">
        <f>""</f>
        <v/>
      </c>
      <c r="O870" t="s">
        <v>3116</v>
      </c>
      <c r="P870" t="s">
        <v>3091</v>
      </c>
      <c r="R870" t="s">
        <v>964</v>
      </c>
      <c r="S870" t="s">
        <v>36</v>
      </c>
      <c r="T870" t="str">
        <f t="shared" si="142"/>
        <v>85042</v>
      </c>
      <c r="U870" t="str">
        <f>""</f>
        <v/>
      </c>
      <c r="V870" t="s">
        <v>3117</v>
      </c>
      <c r="X870" t="s">
        <v>964</v>
      </c>
      <c r="Y870" t="s">
        <v>36</v>
      </c>
      <c r="Z870" t="str">
        <f>"85042"</f>
        <v>85042</v>
      </c>
      <c r="AA870" t="str">
        <f>""</f>
        <v/>
      </c>
      <c r="AB870" t="s">
        <v>56</v>
      </c>
    </row>
    <row r="871" spans="1:28" x14ac:dyDescent="0.25">
      <c r="A871">
        <v>4279</v>
      </c>
      <c r="B871" t="str">
        <f t="shared" si="140"/>
        <v>070466000</v>
      </c>
      <c r="C871" t="s">
        <v>3086</v>
      </c>
      <c r="D871">
        <v>5371</v>
      </c>
      <c r="E871" t="str">
        <f>"070466011"</f>
        <v>070466011</v>
      </c>
      <c r="F871" t="s">
        <v>3118</v>
      </c>
      <c r="G871" t="s">
        <v>42</v>
      </c>
      <c r="H871" t="s">
        <v>2932</v>
      </c>
      <c r="I871" t="s">
        <v>2970</v>
      </c>
      <c r="J871" t="s">
        <v>926</v>
      </c>
      <c r="K871" t="str">
        <f>"6022431104"</f>
        <v>6022431104</v>
      </c>
      <c r="L871" t="str">
        <f>""</f>
        <v/>
      </c>
      <c r="M871" t="str">
        <f>""</f>
        <v/>
      </c>
      <c r="N871" t="str">
        <f>""</f>
        <v/>
      </c>
      <c r="O871" t="s">
        <v>3119</v>
      </c>
      <c r="P871" t="s">
        <v>3120</v>
      </c>
      <c r="R871" t="s">
        <v>964</v>
      </c>
      <c r="S871" t="s">
        <v>36</v>
      </c>
      <c r="T871" t="str">
        <f>"85040"</f>
        <v>85040</v>
      </c>
      <c r="U871" t="str">
        <f>""</f>
        <v/>
      </c>
      <c r="V871" t="s">
        <v>3120</v>
      </c>
      <c r="X871" t="s">
        <v>964</v>
      </c>
      <c r="Y871" t="s">
        <v>36</v>
      </c>
      <c r="Z871" t="str">
        <f>"85040"</f>
        <v>85040</v>
      </c>
      <c r="AA871" t="str">
        <f>""</f>
        <v/>
      </c>
      <c r="AB871" t="s">
        <v>56</v>
      </c>
    </row>
    <row r="872" spans="1:28" x14ac:dyDescent="0.25">
      <c r="A872">
        <v>4279</v>
      </c>
      <c r="B872" t="str">
        <f t="shared" si="140"/>
        <v>070466000</v>
      </c>
      <c r="C872" t="s">
        <v>3086</v>
      </c>
      <c r="D872">
        <v>5372</v>
      </c>
      <c r="E872" t="str">
        <f>"070466012"</f>
        <v>070466012</v>
      </c>
      <c r="F872" t="s">
        <v>3121</v>
      </c>
      <c r="G872" t="s">
        <v>42</v>
      </c>
      <c r="H872" t="s">
        <v>3122</v>
      </c>
      <c r="I872" t="s">
        <v>3123</v>
      </c>
      <c r="J872" t="s">
        <v>315</v>
      </c>
      <c r="K872" t="str">
        <f>"6022324904"</f>
        <v>6022324904</v>
      </c>
      <c r="L872" t="str">
        <f>""</f>
        <v/>
      </c>
      <c r="M872" t="str">
        <f t="shared" ref="M872:M883" si="143">"6023054701"</f>
        <v>6023054701</v>
      </c>
      <c r="N872" t="str">
        <f>""</f>
        <v/>
      </c>
      <c r="O872" t="s">
        <v>3124</v>
      </c>
      <c r="P872" t="s">
        <v>3091</v>
      </c>
      <c r="R872" t="s">
        <v>964</v>
      </c>
      <c r="S872" t="s">
        <v>36</v>
      </c>
      <c r="T872" t="str">
        <f t="shared" ref="T872:T883" si="144">"85042"</f>
        <v>85042</v>
      </c>
      <c r="U872" t="str">
        <f>""</f>
        <v/>
      </c>
      <c r="V872" t="s">
        <v>3125</v>
      </c>
      <c r="X872" t="s">
        <v>964</v>
      </c>
      <c r="Y872" t="s">
        <v>36</v>
      </c>
      <c r="Z872" t="str">
        <f>"85042"</f>
        <v>85042</v>
      </c>
      <c r="AA872" t="str">
        <f>""</f>
        <v/>
      </c>
      <c r="AB872" t="s">
        <v>56</v>
      </c>
    </row>
    <row r="873" spans="1:28" x14ac:dyDescent="0.25">
      <c r="A873">
        <v>4279</v>
      </c>
      <c r="B873" t="str">
        <f t="shared" si="140"/>
        <v>070466000</v>
      </c>
      <c r="C873" t="s">
        <v>3086</v>
      </c>
      <c r="D873">
        <v>5373</v>
      </c>
      <c r="E873" t="str">
        <f>"070466013"</f>
        <v>070466013</v>
      </c>
      <c r="F873" t="s">
        <v>3126</v>
      </c>
      <c r="G873" t="s">
        <v>42</v>
      </c>
      <c r="H873" t="s">
        <v>3127</v>
      </c>
      <c r="I873" t="s">
        <v>3128</v>
      </c>
      <c r="J873" t="s">
        <v>315</v>
      </c>
      <c r="K873" t="str">
        <f>"6022324214"</f>
        <v>6022324214</v>
      </c>
      <c r="L873" t="str">
        <f>""</f>
        <v/>
      </c>
      <c r="M873" t="str">
        <f t="shared" si="143"/>
        <v>6023054701</v>
      </c>
      <c r="N873" t="str">
        <f>""</f>
        <v/>
      </c>
      <c r="O873" t="s">
        <v>3129</v>
      </c>
      <c r="P873" t="s">
        <v>3091</v>
      </c>
      <c r="R873" t="s">
        <v>964</v>
      </c>
      <c r="S873" t="s">
        <v>36</v>
      </c>
      <c r="T873" t="str">
        <f t="shared" si="144"/>
        <v>85042</v>
      </c>
      <c r="U873" t="str">
        <f>""</f>
        <v/>
      </c>
      <c r="V873" t="s">
        <v>3130</v>
      </c>
      <c r="X873" t="s">
        <v>964</v>
      </c>
      <c r="Y873" t="s">
        <v>36</v>
      </c>
      <c r="Z873" t="str">
        <f>"85041"</f>
        <v>85041</v>
      </c>
      <c r="AA873" t="str">
        <f>""</f>
        <v/>
      </c>
      <c r="AB873" t="s">
        <v>56</v>
      </c>
    </row>
    <row r="874" spans="1:28" x14ac:dyDescent="0.25">
      <c r="A874">
        <v>4279</v>
      </c>
      <c r="B874" t="str">
        <f t="shared" si="140"/>
        <v>070466000</v>
      </c>
      <c r="C874" t="s">
        <v>3086</v>
      </c>
      <c r="D874">
        <v>5374</v>
      </c>
      <c r="E874" t="str">
        <f>"070466014"</f>
        <v>070466014</v>
      </c>
      <c r="F874" t="s">
        <v>3131</v>
      </c>
      <c r="G874" t="s">
        <v>42</v>
      </c>
      <c r="H874" t="s">
        <v>3132</v>
      </c>
      <c r="I874" t="s">
        <v>110</v>
      </c>
      <c r="J874" t="s">
        <v>315</v>
      </c>
      <c r="K874" t="str">
        <f>"6022324224"</f>
        <v>6022324224</v>
      </c>
      <c r="L874" t="str">
        <f>""</f>
        <v/>
      </c>
      <c r="M874" t="str">
        <f t="shared" si="143"/>
        <v>6023054701</v>
      </c>
      <c r="N874" t="str">
        <f>""</f>
        <v/>
      </c>
      <c r="O874" t="s">
        <v>3133</v>
      </c>
      <c r="P874" t="s">
        <v>3091</v>
      </c>
      <c r="R874" t="s">
        <v>964</v>
      </c>
      <c r="S874" t="s">
        <v>36</v>
      </c>
      <c r="T874" t="str">
        <f t="shared" si="144"/>
        <v>85042</v>
      </c>
      <c r="U874" t="str">
        <f>""</f>
        <v/>
      </c>
      <c r="V874" t="s">
        <v>3134</v>
      </c>
      <c r="X874" t="s">
        <v>964</v>
      </c>
      <c r="Y874" t="s">
        <v>36</v>
      </c>
      <c r="Z874" t="str">
        <f>"85042"</f>
        <v>85042</v>
      </c>
      <c r="AA874" t="str">
        <f>""</f>
        <v/>
      </c>
      <c r="AB874" t="s">
        <v>56</v>
      </c>
    </row>
    <row r="875" spans="1:28" x14ac:dyDescent="0.25">
      <c r="A875">
        <v>4279</v>
      </c>
      <c r="B875" t="str">
        <f t="shared" si="140"/>
        <v>070466000</v>
      </c>
      <c r="C875" t="s">
        <v>3086</v>
      </c>
      <c r="D875">
        <v>5375</v>
      </c>
      <c r="E875" t="str">
        <f>"070466015"</f>
        <v>070466015</v>
      </c>
      <c r="F875" t="s">
        <v>3135</v>
      </c>
      <c r="G875" t="s">
        <v>42</v>
      </c>
      <c r="H875" t="s">
        <v>3136</v>
      </c>
      <c r="I875" t="s">
        <v>3137</v>
      </c>
      <c r="J875" t="s">
        <v>3138</v>
      </c>
      <c r="K875" t="str">
        <f>"6022324244"</f>
        <v>6022324244</v>
      </c>
      <c r="L875" t="str">
        <f>""</f>
        <v/>
      </c>
      <c r="M875" t="str">
        <f t="shared" si="143"/>
        <v>6023054701</v>
      </c>
      <c r="N875" t="str">
        <f>""</f>
        <v/>
      </c>
      <c r="O875" t="s">
        <v>3139</v>
      </c>
      <c r="P875" t="s">
        <v>3091</v>
      </c>
      <c r="R875" t="s">
        <v>964</v>
      </c>
      <c r="S875" t="s">
        <v>36</v>
      </c>
      <c r="T875" t="str">
        <f t="shared" si="144"/>
        <v>85042</v>
      </c>
      <c r="U875" t="str">
        <f>""</f>
        <v/>
      </c>
      <c r="V875" t="s">
        <v>3140</v>
      </c>
      <c r="X875" t="s">
        <v>964</v>
      </c>
      <c r="Y875" t="s">
        <v>36</v>
      </c>
      <c r="Z875" t="str">
        <f>"85042"</f>
        <v>85042</v>
      </c>
      <c r="AA875" t="str">
        <f>""</f>
        <v/>
      </c>
      <c r="AB875" t="s">
        <v>56</v>
      </c>
    </row>
    <row r="876" spans="1:28" x14ac:dyDescent="0.25">
      <c r="A876">
        <v>4279</v>
      </c>
      <c r="B876" t="str">
        <f t="shared" si="140"/>
        <v>070466000</v>
      </c>
      <c r="C876" t="s">
        <v>3086</v>
      </c>
      <c r="D876">
        <v>5376</v>
      </c>
      <c r="E876" t="str">
        <f>"070466016"</f>
        <v>070466016</v>
      </c>
      <c r="F876" t="s">
        <v>3141</v>
      </c>
      <c r="G876" t="s">
        <v>42</v>
      </c>
      <c r="H876" t="s">
        <v>3136</v>
      </c>
      <c r="I876" t="s">
        <v>3137</v>
      </c>
      <c r="J876" t="s">
        <v>3142</v>
      </c>
      <c r="K876" t="str">
        <f>"6022324244"</f>
        <v>6022324244</v>
      </c>
      <c r="L876" t="str">
        <f>""</f>
        <v/>
      </c>
      <c r="M876" t="str">
        <f t="shared" si="143"/>
        <v>6023054701</v>
      </c>
      <c r="N876" t="str">
        <f>""</f>
        <v/>
      </c>
      <c r="O876" t="s">
        <v>3139</v>
      </c>
      <c r="P876" t="s">
        <v>3091</v>
      </c>
      <c r="R876" t="s">
        <v>964</v>
      </c>
      <c r="S876" t="s">
        <v>36</v>
      </c>
      <c r="T876" t="str">
        <f t="shared" si="144"/>
        <v>85042</v>
      </c>
      <c r="U876" t="str">
        <f>""</f>
        <v/>
      </c>
      <c r="V876" t="s">
        <v>3143</v>
      </c>
      <c r="X876" t="s">
        <v>964</v>
      </c>
      <c r="Y876" t="s">
        <v>36</v>
      </c>
      <c r="Z876" t="str">
        <f>"85042"</f>
        <v>85042</v>
      </c>
      <c r="AA876" t="str">
        <f>""</f>
        <v/>
      </c>
      <c r="AB876" t="s">
        <v>56</v>
      </c>
    </row>
    <row r="877" spans="1:28" x14ac:dyDescent="0.25">
      <c r="A877">
        <v>4279</v>
      </c>
      <c r="B877" t="str">
        <f t="shared" si="140"/>
        <v>070466000</v>
      </c>
      <c r="C877" t="s">
        <v>3086</v>
      </c>
      <c r="D877">
        <v>5377</v>
      </c>
      <c r="E877" t="str">
        <f>"070466017"</f>
        <v>070466017</v>
      </c>
      <c r="F877" t="s">
        <v>3144</v>
      </c>
      <c r="G877" t="s">
        <v>42</v>
      </c>
      <c r="H877" t="s">
        <v>2087</v>
      </c>
      <c r="I877" t="s">
        <v>3013</v>
      </c>
      <c r="J877" t="s">
        <v>315</v>
      </c>
      <c r="K877" t="str">
        <f>"6022324254"</f>
        <v>6022324254</v>
      </c>
      <c r="L877" t="str">
        <f>""</f>
        <v/>
      </c>
      <c r="M877" t="str">
        <f t="shared" si="143"/>
        <v>6023054701</v>
      </c>
      <c r="N877" t="str">
        <f>""</f>
        <v/>
      </c>
      <c r="O877" t="s">
        <v>3145</v>
      </c>
      <c r="P877" t="s">
        <v>3091</v>
      </c>
      <c r="R877" t="s">
        <v>964</v>
      </c>
      <c r="S877" t="s">
        <v>36</v>
      </c>
      <c r="T877" t="str">
        <f t="shared" si="144"/>
        <v>85042</v>
      </c>
      <c r="U877" t="str">
        <f>""</f>
        <v/>
      </c>
      <c r="V877" t="s">
        <v>3146</v>
      </c>
      <c r="X877" t="s">
        <v>964</v>
      </c>
      <c r="Y877" t="s">
        <v>36</v>
      </c>
      <c r="Z877" t="str">
        <f>"85041"</f>
        <v>85041</v>
      </c>
      <c r="AA877" t="str">
        <f>""</f>
        <v/>
      </c>
      <c r="AB877" t="s">
        <v>56</v>
      </c>
    </row>
    <row r="878" spans="1:28" x14ac:dyDescent="0.25">
      <c r="A878">
        <v>4279</v>
      </c>
      <c r="B878" t="str">
        <f t="shared" si="140"/>
        <v>070466000</v>
      </c>
      <c r="C878" t="s">
        <v>3086</v>
      </c>
      <c r="D878">
        <v>5378</v>
      </c>
      <c r="E878" t="str">
        <f>"070466018"</f>
        <v>070466018</v>
      </c>
      <c r="F878" t="s">
        <v>3147</v>
      </c>
      <c r="G878" t="s">
        <v>42</v>
      </c>
      <c r="H878" t="s">
        <v>1589</v>
      </c>
      <c r="I878" t="s">
        <v>3148</v>
      </c>
      <c r="J878" t="s">
        <v>315</v>
      </c>
      <c r="K878" t="str">
        <f>"6022324934"</f>
        <v>6022324934</v>
      </c>
      <c r="L878" t="str">
        <f>""</f>
        <v/>
      </c>
      <c r="M878" t="str">
        <f t="shared" si="143"/>
        <v>6023054701</v>
      </c>
      <c r="N878" t="str">
        <f>""</f>
        <v/>
      </c>
      <c r="O878" t="s">
        <v>3149</v>
      </c>
      <c r="P878" t="s">
        <v>3099</v>
      </c>
      <c r="R878" t="s">
        <v>964</v>
      </c>
      <c r="S878" t="s">
        <v>36</v>
      </c>
      <c r="T878" t="str">
        <f t="shared" si="144"/>
        <v>85042</v>
      </c>
      <c r="U878" t="str">
        <f>""</f>
        <v/>
      </c>
      <c r="V878" t="s">
        <v>3150</v>
      </c>
      <c r="X878" t="s">
        <v>964</v>
      </c>
      <c r="Y878" t="s">
        <v>36</v>
      </c>
      <c r="Z878" t="str">
        <f>"85041"</f>
        <v>85041</v>
      </c>
      <c r="AA878" t="str">
        <f>""</f>
        <v/>
      </c>
      <c r="AB878" t="s">
        <v>56</v>
      </c>
    </row>
    <row r="879" spans="1:28" x14ac:dyDescent="0.25">
      <c r="A879">
        <v>4279</v>
      </c>
      <c r="B879" t="str">
        <f t="shared" si="140"/>
        <v>070466000</v>
      </c>
      <c r="C879" t="s">
        <v>3086</v>
      </c>
      <c r="D879">
        <v>5379</v>
      </c>
      <c r="E879" t="str">
        <f>"070466019"</f>
        <v>070466019</v>
      </c>
      <c r="F879" t="s">
        <v>3151</v>
      </c>
      <c r="G879" t="s">
        <v>42</v>
      </c>
      <c r="H879" t="s">
        <v>1906</v>
      </c>
      <c r="I879" t="s">
        <v>3152</v>
      </c>
      <c r="J879" t="s">
        <v>315</v>
      </c>
      <c r="K879" t="str">
        <f>"6022324264"</f>
        <v>6022324264</v>
      </c>
      <c r="L879" t="str">
        <f>"11905"</f>
        <v>11905</v>
      </c>
      <c r="M879" t="str">
        <f t="shared" si="143"/>
        <v>6023054701</v>
      </c>
      <c r="N879" t="str">
        <f>""</f>
        <v/>
      </c>
      <c r="O879" t="s">
        <v>3153</v>
      </c>
      <c r="P879" t="s">
        <v>3091</v>
      </c>
      <c r="R879" t="s">
        <v>964</v>
      </c>
      <c r="S879" t="s">
        <v>36</v>
      </c>
      <c r="T879" t="str">
        <f t="shared" si="144"/>
        <v>85042</v>
      </c>
      <c r="U879" t="str">
        <f>""</f>
        <v/>
      </c>
      <c r="V879" t="s">
        <v>3154</v>
      </c>
      <c r="X879" t="s">
        <v>964</v>
      </c>
      <c r="Y879" t="s">
        <v>36</v>
      </c>
      <c r="Z879" t="str">
        <f>"85042"</f>
        <v>85042</v>
      </c>
      <c r="AA879" t="str">
        <f>""</f>
        <v/>
      </c>
      <c r="AB879" t="s">
        <v>56</v>
      </c>
    </row>
    <row r="880" spans="1:28" x14ac:dyDescent="0.25">
      <c r="A880">
        <v>4279</v>
      </c>
      <c r="B880" t="str">
        <f t="shared" si="140"/>
        <v>070466000</v>
      </c>
      <c r="C880" t="s">
        <v>3086</v>
      </c>
      <c r="D880">
        <v>5380</v>
      </c>
      <c r="E880" t="str">
        <f>"070466020"</f>
        <v>070466020</v>
      </c>
      <c r="F880" t="s">
        <v>3155</v>
      </c>
      <c r="G880" t="s">
        <v>42</v>
      </c>
      <c r="H880" t="s">
        <v>3156</v>
      </c>
      <c r="I880" t="s">
        <v>3157</v>
      </c>
      <c r="J880" t="s">
        <v>315</v>
      </c>
      <c r="K880" t="str">
        <f>"6022324276"</f>
        <v>6022324276</v>
      </c>
      <c r="L880" t="str">
        <f>""</f>
        <v/>
      </c>
      <c r="M880" t="str">
        <f t="shared" si="143"/>
        <v>6023054701</v>
      </c>
      <c r="N880" t="str">
        <f>""</f>
        <v/>
      </c>
      <c r="O880" t="s">
        <v>3158</v>
      </c>
      <c r="P880" t="s">
        <v>3091</v>
      </c>
      <c r="R880" t="s">
        <v>964</v>
      </c>
      <c r="S880" t="s">
        <v>36</v>
      </c>
      <c r="T880" t="str">
        <f t="shared" si="144"/>
        <v>85042</v>
      </c>
      <c r="U880" t="str">
        <f>""</f>
        <v/>
      </c>
      <c r="V880" t="s">
        <v>3159</v>
      </c>
      <c r="X880" t="s">
        <v>964</v>
      </c>
      <c r="Y880" t="s">
        <v>36</v>
      </c>
      <c r="Z880" t="str">
        <f>"85041"</f>
        <v>85041</v>
      </c>
      <c r="AA880" t="str">
        <f>""</f>
        <v/>
      </c>
      <c r="AB880" t="s">
        <v>56</v>
      </c>
    </row>
    <row r="881" spans="1:28" x14ac:dyDescent="0.25">
      <c r="A881">
        <v>4279</v>
      </c>
      <c r="B881" t="str">
        <f t="shared" si="140"/>
        <v>070466000</v>
      </c>
      <c r="C881" t="s">
        <v>3086</v>
      </c>
      <c r="D881">
        <v>79012</v>
      </c>
      <c r="E881" t="str">
        <f>"070466022"</f>
        <v>070466022</v>
      </c>
      <c r="F881" t="s">
        <v>3160</v>
      </c>
      <c r="G881" t="s">
        <v>42</v>
      </c>
      <c r="H881" t="s">
        <v>3161</v>
      </c>
      <c r="I881" t="s">
        <v>3162</v>
      </c>
      <c r="J881" t="s">
        <v>926</v>
      </c>
      <c r="K881" t="str">
        <f>"6023043174"</f>
        <v>6023043174</v>
      </c>
      <c r="L881" t="str">
        <f>""</f>
        <v/>
      </c>
      <c r="M881" t="str">
        <f t="shared" si="143"/>
        <v>6023054701</v>
      </c>
      <c r="N881" t="str">
        <f>""</f>
        <v/>
      </c>
      <c r="O881" t="s">
        <v>3163</v>
      </c>
      <c r="P881" t="s">
        <v>3091</v>
      </c>
      <c r="R881" t="s">
        <v>964</v>
      </c>
      <c r="S881" t="s">
        <v>36</v>
      </c>
      <c r="T881" t="str">
        <f t="shared" si="144"/>
        <v>85042</v>
      </c>
      <c r="U881" t="str">
        <f>""</f>
        <v/>
      </c>
      <c r="V881" t="s">
        <v>3164</v>
      </c>
      <c r="X881" t="s">
        <v>964</v>
      </c>
      <c r="Y881" t="s">
        <v>36</v>
      </c>
      <c r="Z881" t="str">
        <f>"85042"</f>
        <v>85042</v>
      </c>
      <c r="AA881" t="str">
        <f>""</f>
        <v/>
      </c>
      <c r="AB881" t="s">
        <v>56</v>
      </c>
    </row>
    <row r="882" spans="1:28" x14ac:dyDescent="0.25">
      <c r="A882">
        <v>4279</v>
      </c>
      <c r="B882" t="str">
        <f t="shared" si="140"/>
        <v>070466000</v>
      </c>
      <c r="C882" t="s">
        <v>3086</v>
      </c>
      <c r="D882">
        <v>79013</v>
      </c>
      <c r="E882" t="str">
        <f>"070466021"</f>
        <v>070466021</v>
      </c>
      <c r="F882" t="s">
        <v>3165</v>
      </c>
      <c r="G882" t="s">
        <v>42</v>
      </c>
      <c r="H882" t="s">
        <v>1589</v>
      </c>
      <c r="I882" t="s">
        <v>3166</v>
      </c>
      <c r="J882" t="s">
        <v>315</v>
      </c>
      <c r="K882" t="str">
        <f>"6023043164"</f>
        <v>6023043164</v>
      </c>
      <c r="L882" t="str">
        <f>""</f>
        <v/>
      </c>
      <c r="M882" t="str">
        <f t="shared" si="143"/>
        <v>6023054701</v>
      </c>
      <c r="N882" t="str">
        <f>""</f>
        <v/>
      </c>
      <c r="O882" t="s">
        <v>3167</v>
      </c>
      <c r="P882" t="s">
        <v>3091</v>
      </c>
      <c r="R882" t="s">
        <v>964</v>
      </c>
      <c r="S882" t="s">
        <v>36</v>
      </c>
      <c r="T882" t="str">
        <f t="shared" si="144"/>
        <v>85042</v>
      </c>
      <c r="U882" t="str">
        <f>""</f>
        <v/>
      </c>
      <c r="V882" t="s">
        <v>3168</v>
      </c>
      <c r="X882" t="s">
        <v>964</v>
      </c>
      <c r="Y882" t="s">
        <v>36</v>
      </c>
      <c r="Z882" t="str">
        <f>"85041"</f>
        <v>85041</v>
      </c>
      <c r="AA882" t="str">
        <f>""</f>
        <v/>
      </c>
      <c r="AB882" t="s">
        <v>56</v>
      </c>
    </row>
    <row r="883" spans="1:28" x14ac:dyDescent="0.25">
      <c r="A883">
        <v>4279</v>
      </c>
      <c r="B883" t="str">
        <f t="shared" si="140"/>
        <v>070466000</v>
      </c>
      <c r="C883" t="s">
        <v>3086</v>
      </c>
      <c r="D883">
        <v>87883</v>
      </c>
      <c r="E883" t="str">
        <f>"070466024"</f>
        <v>070466024</v>
      </c>
      <c r="F883" t="s">
        <v>3169</v>
      </c>
      <c r="G883" t="s">
        <v>42</v>
      </c>
      <c r="H883" t="s">
        <v>3170</v>
      </c>
      <c r="I883" t="s">
        <v>3152</v>
      </c>
      <c r="J883" t="s">
        <v>315</v>
      </c>
      <c r="K883" t="str">
        <f>"6023043186"</f>
        <v>6023043186</v>
      </c>
      <c r="L883" t="str">
        <f>""</f>
        <v/>
      </c>
      <c r="M883" t="str">
        <f t="shared" si="143"/>
        <v>6023054701</v>
      </c>
      <c r="N883" t="str">
        <f>""</f>
        <v/>
      </c>
      <c r="O883" t="s">
        <v>3171</v>
      </c>
      <c r="P883" t="s">
        <v>3091</v>
      </c>
      <c r="R883" t="s">
        <v>964</v>
      </c>
      <c r="S883" t="s">
        <v>36</v>
      </c>
      <c r="T883" t="str">
        <f t="shared" si="144"/>
        <v>85042</v>
      </c>
      <c r="U883" t="str">
        <f>""</f>
        <v/>
      </c>
      <c r="V883" t="s">
        <v>3172</v>
      </c>
      <c r="X883" t="s">
        <v>964</v>
      </c>
      <c r="Y883" t="s">
        <v>36</v>
      </c>
      <c r="Z883" t="str">
        <f>"85041"</f>
        <v>85041</v>
      </c>
      <c r="AA883" t="str">
        <f>""</f>
        <v/>
      </c>
      <c r="AB883" t="s">
        <v>56</v>
      </c>
    </row>
    <row r="884" spans="1:28" x14ac:dyDescent="0.25">
      <c r="A884">
        <v>4280</v>
      </c>
      <c r="B884" t="str">
        <f t="shared" ref="B884:B898" si="145">"070468000"</f>
        <v>070468000</v>
      </c>
      <c r="C884" t="s">
        <v>3173</v>
      </c>
      <c r="D884">
        <v>0</v>
      </c>
      <c r="E884" t="str">
        <f>""</f>
        <v/>
      </c>
      <c r="G884" t="s">
        <v>29</v>
      </c>
      <c r="H884" t="s">
        <v>3174</v>
      </c>
      <c r="I884" t="s">
        <v>3175</v>
      </c>
      <c r="J884" t="s">
        <v>3176</v>
      </c>
      <c r="K884" t="str">
        <f t="shared" ref="K884:K898" si="146">"6023362985"</f>
        <v>6023362985</v>
      </c>
      <c r="L884" t="str">
        <f>""</f>
        <v/>
      </c>
      <c r="M884" t="str">
        <f t="shared" ref="M884:M898" si="147">"6023362263"</f>
        <v>6023362263</v>
      </c>
      <c r="N884" t="str">
        <f>""</f>
        <v/>
      </c>
      <c r="O884" t="s">
        <v>3177</v>
      </c>
      <c r="P884" t="s">
        <v>3178</v>
      </c>
      <c r="R884" t="s">
        <v>964</v>
      </c>
      <c r="S884" t="s">
        <v>36</v>
      </c>
      <c r="T884" t="str">
        <f t="shared" ref="T884:T898" si="148">"85019"</f>
        <v>85019</v>
      </c>
      <c r="U884" t="str">
        <f>""</f>
        <v/>
      </c>
      <c r="V884" t="s">
        <v>3178</v>
      </c>
      <c r="X884" t="s">
        <v>964</v>
      </c>
      <c r="Y884" t="s">
        <v>36</v>
      </c>
      <c r="Z884" t="str">
        <f>"85019"</f>
        <v>85019</v>
      </c>
      <c r="AA884" t="str">
        <f>""</f>
        <v/>
      </c>
      <c r="AB884" t="s">
        <v>1466</v>
      </c>
    </row>
    <row r="885" spans="1:28" x14ac:dyDescent="0.25">
      <c r="A885">
        <v>4280</v>
      </c>
      <c r="B885" t="str">
        <f t="shared" si="145"/>
        <v>070468000</v>
      </c>
      <c r="C885" t="s">
        <v>3173</v>
      </c>
      <c r="D885">
        <v>5381</v>
      </c>
      <c r="E885" t="str">
        <f>"070468101"</f>
        <v>070468101</v>
      </c>
      <c r="F885" t="s">
        <v>3179</v>
      </c>
      <c r="G885" t="s">
        <v>42</v>
      </c>
      <c r="H885" t="s">
        <v>3174</v>
      </c>
      <c r="I885" t="s">
        <v>3175</v>
      </c>
      <c r="J885" t="s">
        <v>3176</v>
      </c>
      <c r="K885" t="str">
        <f t="shared" si="146"/>
        <v>6023362985</v>
      </c>
      <c r="L885" t="str">
        <f>""</f>
        <v/>
      </c>
      <c r="M885" t="str">
        <f t="shared" si="147"/>
        <v>6023362263</v>
      </c>
      <c r="N885" t="str">
        <f>""</f>
        <v/>
      </c>
      <c r="O885" t="s">
        <v>3177</v>
      </c>
      <c r="P885" t="s">
        <v>3178</v>
      </c>
      <c r="R885" t="s">
        <v>964</v>
      </c>
      <c r="S885" t="s">
        <v>36</v>
      </c>
      <c r="T885" t="str">
        <f t="shared" si="148"/>
        <v>85019</v>
      </c>
      <c r="U885" t="str">
        <f>""</f>
        <v/>
      </c>
      <c r="V885" t="s">
        <v>3180</v>
      </c>
      <c r="X885" t="s">
        <v>964</v>
      </c>
      <c r="Y885" t="s">
        <v>36</v>
      </c>
      <c r="Z885" t="str">
        <f>"85017"</f>
        <v>85017</v>
      </c>
      <c r="AA885" t="str">
        <f>""</f>
        <v/>
      </c>
      <c r="AB885" t="s">
        <v>1466</v>
      </c>
    </row>
    <row r="886" spans="1:28" x14ac:dyDescent="0.25">
      <c r="A886">
        <v>4280</v>
      </c>
      <c r="B886" t="str">
        <f t="shared" si="145"/>
        <v>070468000</v>
      </c>
      <c r="C886" t="s">
        <v>3173</v>
      </c>
      <c r="D886">
        <v>5383</v>
      </c>
      <c r="E886" t="str">
        <f>"070468103"</f>
        <v>070468103</v>
      </c>
      <c r="F886" t="s">
        <v>3181</v>
      </c>
      <c r="G886" t="s">
        <v>42</v>
      </c>
      <c r="H886" t="s">
        <v>3174</v>
      </c>
      <c r="I886" t="s">
        <v>3175</v>
      </c>
      <c r="J886" t="s">
        <v>3176</v>
      </c>
      <c r="K886" t="str">
        <f t="shared" si="146"/>
        <v>6023362985</v>
      </c>
      <c r="L886" t="str">
        <f>""</f>
        <v/>
      </c>
      <c r="M886" t="str">
        <f t="shared" si="147"/>
        <v>6023362263</v>
      </c>
      <c r="N886" t="str">
        <f>""</f>
        <v/>
      </c>
      <c r="O886" t="s">
        <v>3177</v>
      </c>
      <c r="P886" t="s">
        <v>3178</v>
      </c>
      <c r="R886" t="s">
        <v>964</v>
      </c>
      <c r="S886" t="s">
        <v>36</v>
      </c>
      <c r="T886" t="str">
        <f t="shared" si="148"/>
        <v>85019</v>
      </c>
      <c r="U886" t="str">
        <f>""</f>
        <v/>
      </c>
      <c r="V886" t="s">
        <v>3182</v>
      </c>
      <c r="X886" t="s">
        <v>964</v>
      </c>
      <c r="Y886" t="s">
        <v>36</v>
      </c>
      <c r="Z886" t="str">
        <f>"85031"</f>
        <v>85031</v>
      </c>
      <c r="AA886" t="str">
        <f>""</f>
        <v/>
      </c>
      <c r="AB886" t="s">
        <v>1466</v>
      </c>
    </row>
    <row r="887" spans="1:28" x14ac:dyDescent="0.25">
      <c r="A887">
        <v>4280</v>
      </c>
      <c r="B887" t="str">
        <f t="shared" si="145"/>
        <v>070468000</v>
      </c>
      <c r="C887" t="s">
        <v>3173</v>
      </c>
      <c r="D887">
        <v>5384</v>
      </c>
      <c r="E887" t="str">
        <f>"070468104"</f>
        <v>070468104</v>
      </c>
      <c r="F887" t="s">
        <v>3183</v>
      </c>
      <c r="G887" t="s">
        <v>42</v>
      </c>
      <c r="H887" t="s">
        <v>3174</v>
      </c>
      <c r="I887" t="s">
        <v>3175</v>
      </c>
      <c r="J887" t="s">
        <v>3176</v>
      </c>
      <c r="K887" t="str">
        <f t="shared" si="146"/>
        <v>6023362985</v>
      </c>
      <c r="L887" t="str">
        <f>""</f>
        <v/>
      </c>
      <c r="M887" t="str">
        <f t="shared" si="147"/>
        <v>6023362263</v>
      </c>
      <c r="N887" t="str">
        <f>""</f>
        <v/>
      </c>
      <c r="O887" t="s">
        <v>3177</v>
      </c>
      <c r="P887" t="s">
        <v>3178</v>
      </c>
      <c r="R887" t="s">
        <v>964</v>
      </c>
      <c r="S887" t="s">
        <v>36</v>
      </c>
      <c r="T887" t="str">
        <f t="shared" si="148"/>
        <v>85019</v>
      </c>
      <c r="U887" t="str">
        <f>""</f>
        <v/>
      </c>
      <c r="V887" t="s">
        <v>3184</v>
      </c>
      <c r="X887" t="s">
        <v>1173</v>
      </c>
      <c r="Y887" t="s">
        <v>36</v>
      </c>
      <c r="Z887" t="str">
        <f>"85301"</f>
        <v>85301</v>
      </c>
      <c r="AA887" t="str">
        <f>""</f>
        <v/>
      </c>
      <c r="AB887" t="s">
        <v>1466</v>
      </c>
    </row>
    <row r="888" spans="1:28" x14ac:dyDescent="0.25">
      <c r="A888">
        <v>4280</v>
      </c>
      <c r="B888" t="str">
        <f t="shared" si="145"/>
        <v>070468000</v>
      </c>
      <c r="C888" t="s">
        <v>3173</v>
      </c>
      <c r="D888">
        <v>5385</v>
      </c>
      <c r="E888" t="str">
        <f>"070468106"</f>
        <v>070468106</v>
      </c>
      <c r="F888" t="s">
        <v>3185</v>
      </c>
      <c r="G888" t="s">
        <v>42</v>
      </c>
      <c r="H888" t="s">
        <v>3174</v>
      </c>
      <c r="I888" t="s">
        <v>3175</v>
      </c>
      <c r="J888" t="s">
        <v>3176</v>
      </c>
      <c r="K888" t="str">
        <f t="shared" si="146"/>
        <v>6023362985</v>
      </c>
      <c r="L888" t="str">
        <f>""</f>
        <v/>
      </c>
      <c r="M888" t="str">
        <f t="shared" si="147"/>
        <v>6023362263</v>
      </c>
      <c r="N888" t="str">
        <f>""</f>
        <v/>
      </c>
      <c r="O888" t="s">
        <v>3177</v>
      </c>
      <c r="P888" t="s">
        <v>3178</v>
      </c>
      <c r="R888" t="s">
        <v>964</v>
      </c>
      <c r="S888" t="s">
        <v>36</v>
      </c>
      <c r="T888" t="str">
        <f t="shared" si="148"/>
        <v>85019</v>
      </c>
      <c r="U888" t="str">
        <f>""</f>
        <v/>
      </c>
      <c r="V888" t="s">
        <v>3186</v>
      </c>
      <c r="X888" t="s">
        <v>964</v>
      </c>
      <c r="Y888" t="s">
        <v>36</v>
      </c>
      <c r="Z888" t="str">
        <f>"85019"</f>
        <v>85019</v>
      </c>
      <c r="AA888" t="str">
        <f>""</f>
        <v/>
      </c>
      <c r="AB888" t="s">
        <v>1466</v>
      </c>
    </row>
    <row r="889" spans="1:28" x14ac:dyDescent="0.25">
      <c r="A889">
        <v>4280</v>
      </c>
      <c r="B889" t="str">
        <f t="shared" si="145"/>
        <v>070468000</v>
      </c>
      <c r="C889" t="s">
        <v>3173</v>
      </c>
      <c r="D889">
        <v>5386</v>
      </c>
      <c r="E889" t="str">
        <f>"070468107"</f>
        <v>070468107</v>
      </c>
      <c r="F889" t="s">
        <v>3187</v>
      </c>
      <c r="G889" t="s">
        <v>42</v>
      </c>
      <c r="H889" t="s">
        <v>3174</v>
      </c>
      <c r="I889" t="s">
        <v>3175</v>
      </c>
      <c r="J889" t="s">
        <v>3176</v>
      </c>
      <c r="K889" t="str">
        <f t="shared" si="146"/>
        <v>6023362985</v>
      </c>
      <c r="L889" t="str">
        <f>""</f>
        <v/>
      </c>
      <c r="M889" t="str">
        <f t="shared" si="147"/>
        <v>6023362263</v>
      </c>
      <c r="N889" t="str">
        <f>""</f>
        <v/>
      </c>
      <c r="O889" t="s">
        <v>3177</v>
      </c>
      <c r="P889" t="s">
        <v>3178</v>
      </c>
      <c r="R889" t="s">
        <v>964</v>
      </c>
      <c r="S889" t="s">
        <v>36</v>
      </c>
      <c r="T889" t="str">
        <f t="shared" si="148"/>
        <v>85019</v>
      </c>
      <c r="U889" t="str">
        <f>""</f>
        <v/>
      </c>
      <c r="V889" t="s">
        <v>3188</v>
      </c>
      <c r="X889" t="s">
        <v>964</v>
      </c>
      <c r="Y889" t="s">
        <v>36</v>
      </c>
      <c r="Z889" t="str">
        <f>"85017"</f>
        <v>85017</v>
      </c>
      <c r="AA889" t="str">
        <f>""</f>
        <v/>
      </c>
      <c r="AB889" t="s">
        <v>1466</v>
      </c>
    </row>
    <row r="890" spans="1:28" x14ac:dyDescent="0.25">
      <c r="A890">
        <v>4280</v>
      </c>
      <c r="B890" t="str">
        <f t="shared" si="145"/>
        <v>070468000</v>
      </c>
      <c r="C890" t="s">
        <v>3173</v>
      </c>
      <c r="D890">
        <v>5387</v>
      </c>
      <c r="E890" t="str">
        <f>"070468109"</f>
        <v>070468109</v>
      </c>
      <c r="F890" t="s">
        <v>3189</v>
      </c>
      <c r="G890" t="s">
        <v>42</v>
      </c>
      <c r="H890" t="s">
        <v>3174</v>
      </c>
      <c r="I890" t="s">
        <v>3175</v>
      </c>
      <c r="J890" t="s">
        <v>3176</v>
      </c>
      <c r="K890" t="str">
        <f t="shared" si="146"/>
        <v>6023362985</v>
      </c>
      <c r="L890" t="str">
        <f>""</f>
        <v/>
      </c>
      <c r="M890" t="str">
        <f t="shared" si="147"/>
        <v>6023362263</v>
      </c>
      <c r="N890" t="str">
        <f>""</f>
        <v/>
      </c>
      <c r="O890" t="s">
        <v>3177</v>
      </c>
      <c r="P890" t="s">
        <v>3178</v>
      </c>
      <c r="R890" t="s">
        <v>964</v>
      </c>
      <c r="S890" t="s">
        <v>36</v>
      </c>
      <c r="T890" t="str">
        <f t="shared" si="148"/>
        <v>85019</v>
      </c>
      <c r="U890" t="str">
        <f>""</f>
        <v/>
      </c>
      <c r="V890" t="s">
        <v>3190</v>
      </c>
      <c r="X890" t="s">
        <v>964</v>
      </c>
      <c r="Y890" t="s">
        <v>36</v>
      </c>
      <c r="Z890" t="str">
        <f>"85017"</f>
        <v>85017</v>
      </c>
      <c r="AA890" t="str">
        <f>""</f>
        <v/>
      </c>
      <c r="AB890" t="s">
        <v>1466</v>
      </c>
    </row>
    <row r="891" spans="1:28" x14ac:dyDescent="0.25">
      <c r="A891">
        <v>4280</v>
      </c>
      <c r="B891" t="str">
        <f t="shared" si="145"/>
        <v>070468000</v>
      </c>
      <c r="C891" t="s">
        <v>3173</v>
      </c>
      <c r="D891">
        <v>5388</v>
      </c>
      <c r="E891" t="str">
        <f>"070468110"</f>
        <v>070468110</v>
      </c>
      <c r="F891" t="s">
        <v>3191</v>
      </c>
      <c r="G891" t="s">
        <v>42</v>
      </c>
      <c r="H891" t="s">
        <v>3174</v>
      </c>
      <c r="I891" t="s">
        <v>3175</v>
      </c>
      <c r="J891" t="s">
        <v>3176</v>
      </c>
      <c r="K891" t="str">
        <f t="shared" si="146"/>
        <v>6023362985</v>
      </c>
      <c r="L891" t="str">
        <f>""</f>
        <v/>
      </c>
      <c r="M891" t="str">
        <f t="shared" si="147"/>
        <v>6023362263</v>
      </c>
      <c r="N891" t="str">
        <f>""</f>
        <v/>
      </c>
      <c r="O891" t="s">
        <v>3177</v>
      </c>
      <c r="P891" t="s">
        <v>3178</v>
      </c>
      <c r="R891" t="s">
        <v>964</v>
      </c>
      <c r="S891" t="s">
        <v>36</v>
      </c>
      <c r="T891" t="str">
        <f t="shared" si="148"/>
        <v>85019</v>
      </c>
      <c r="U891" t="str">
        <f>""</f>
        <v/>
      </c>
      <c r="V891" t="s">
        <v>3192</v>
      </c>
      <c r="X891" t="s">
        <v>964</v>
      </c>
      <c r="Y891" t="s">
        <v>36</v>
      </c>
      <c r="Z891" t="str">
        <f>"85017"</f>
        <v>85017</v>
      </c>
      <c r="AA891" t="str">
        <f>""</f>
        <v/>
      </c>
      <c r="AB891" t="s">
        <v>1466</v>
      </c>
    </row>
    <row r="892" spans="1:28" x14ac:dyDescent="0.25">
      <c r="A892">
        <v>4280</v>
      </c>
      <c r="B892" t="str">
        <f t="shared" si="145"/>
        <v>070468000</v>
      </c>
      <c r="C892" t="s">
        <v>3173</v>
      </c>
      <c r="D892">
        <v>5390</v>
      </c>
      <c r="E892" t="str">
        <f>"070468112"</f>
        <v>070468112</v>
      </c>
      <c r="F892" t="s">
        <v>3193</v>
      </c>
      <c r="G892" t="s">
        <v>42</v>
      </c>
      <c r="H892" t="s">
        <v>3174</v>
      </c>
      <c r="I892" t="s">
        <v>3175</v>
      </c>
      <c r="J892" t="s">
        <v>3176</v>
      </c>
      <c r="K892" t="str">
        <f t="shared" si="146"/>
        <v>6023362985</v>
      </c>
      <c r="L892" t="str">
        <f>""</f>
        <v/>
      </c>
      <c r="M892" t="str">
        <f t="shared" si="147"/>
        <v>6023362263</v>
      </c>
      <c r="N892" t="str">
        <f>""</f>
        <v/>
      </c>
      <c r="O892" t="s">
        <v>3177</v>
      </c>
      <c r="P892" t="s">
        <v>3178</v>
      </c>
      <c r="R892" t="s">
        <v>964</v>
      </c>
      <c r="S892" t="s">
        <v>36</v>
      </c>
      <c r="T892" t="str">
        <f t="shared" si="148"/>
        <v>85019</v>
      </c>
      <c r="U892" t="str">
        <f>""</f>
        <v/>
      </c>
      <c r="V892" t="s">
        <v>3194</v>
      </c>
      <c r="X892" t="s">
        <v>964</v>
      </c>
      <c r="Y892" t="s">
        <v>36</v>
      </c>
      <c r="Z892" t="str">
        <f>"85019"</f>
        <v>85019</v>
      </c>
      <c r="AA892" t="str">
        <f>""</f>
        <v/>
      </c>
      <c r="AB892" t="s">
        <v>1466</v>
      </c>
    </row>
    <row r="893" spans="1:28" x14ac:dyDescent="0.25">
      <c r="A893">
        <v>4280</v>
      </c>
      <c r="B893" t="str">
        <f t="shared" si="145"/>
        <v>070468000</v>
      </c>
      <c r="C893" t="s">
        <v>3173</v>
      </c>
      <c r="D893">
        <v>5391</v>
      </c>
      <c r="E893" t="str">
        <f>"070468113"</f>
        <v>070468113</v>
      </c>
      <c r="F893" t="s">
        <v>3195</v>
      </c>
      <c r="G893" t="s">
        <v>42</v>
      </c>
      <c r="H893" t="s">
        <v>3174</v>
      </c>
      <c r="I893" t="s">
        <v>3175</v>
      </c>
      <c r="J893" t="s">
        <v>3176</v>
      </c>
      <c r="K893" t="str">
        <f t="shared" si="146"/>
        <v>6023362985</v>
      </c>
      <c r="L893" t="str">
        <f>""</f>
        <v/>
      </c>
      <c r="M893" t="str">
        <f t="shared" si="147"/>
        <v>6023362263</v>
      </c>
      <c r="N893" t="str">
        <f>""</f>
        <v/>
      </c>
      <c r="O893" t="s">
        <v>3177</v>
      </c>
      <c r="P893" t="s">
        <v>3178</v>
      </c>
      <c r="R893" t="s">
        <v>964</v>
      </c>
      <c r="S893" t="s">
        <v>36</v>
      </c>
      <c r="T893" t="str">
        <f t="shared" si="148"/>
        <v>85019</v>
      </c>
      <c r="U893" t="str">
        <f>""</f>
        <v/>
      </c>
      <c r="V893" t="s">
        <v>3196</v>
      </c>
      <c r="X893" t="s">
        <v>964</v>
      </c>
      <c r="Y893" t="s">
        <v>36</v>
      </c>
      <c r="Z893" t="str">
        <f>"85015"</f>
        <v>85015</v>
      </c>
      <c r="AA893" t="str">
        <f>""</f>
        <v/>
      </c>
      <c r="AB893" t="s">
        <v>1466</v>
      </c>
    </row>
    <row r="894" spans="1:28" x14ac:dyDescent="0.25">
      <c r="A894">
        <v>4280</v>
      </c>
      <c r="B894" t="str">
        <f t="shared" si="145"/>
        <v>070468000</v>
      </c>
      <c r="C894" t="s">
        <v>3173</v>
      </c>
      <c r="D894">
        <v>5392</v>
      </c>
      <c r="E894" t="str">
        <f>"070468114"</f>
        <v>070468114</v>
      </c>
      <c r="F894" t="s">
        <v>3197</v>
      </c>
      <c r="G894" t="s">
        <v>42</v>
      </c>
      <c r="H894" t="s">
        <v>3174</v>
      </c>
      <c r="I894" t="s">
        <v>3175</v>
      </c>
      <c r="J894" t="s">
        <v>3176</v>
      </c>
      <c r="K894" t="str">
        <f t="shared" si="146"/>
        <v>6023362985</v>
      </c>
      <c r="L894" t="str">
        <f>""</f>
        <v/>
      </c>
      <c r="M894" t="str">
        <f t="shared" si="147"/>
        <v>6023362263</v>
      </c>
      <c r="N894" t="str">
        <f>""</f>
        <v/>
      </c>
      <c r="O894" t="s">
        <v>3177</v>
      </c>
      <c r="P894" t="s">
        <v>3178</v>
      </c>
      <c r="R894" t="s">
        <v>964</v>
      </c>
      <c r="S894" t="s">
        <v>36</v>
      </c>
      <c r="T894" t="str">
        <f t="shared" si="148"/>
        <v>85019</v>
      </c>
      <c r="U894" t="str">
        <f>""</f>
        <v/>
      </c>
      <c r="V894" t="s">
        <v>3198</v>
      </c>
      <c r="X894" t="s">
        <v>964</v>
      </c>
      <c r="Y894" t="s">
        <v>36</v>
      </c>
      <c r="Z894" t="str">
        <f>"85015"</f>
        <v>85015</v>
      </c>
      <c r="AA894" t="str">
        <f>""</f>
        <v/>
      </c>
      <c r="AB894" t="s">
        <v>1466</v>
      </c>
    </row>
    <row r="895" spans="1:28" x14ac:dyDescent="0.25">
      <c r="A895">
        <v>4280</v>
      </c>
      <c r="B895" t="str">
        <f t="shared" si="145"/>
        <v>070468000</v>
      </c>
      <c r="C895" t="s">
        <v>3173</v>
      </c>
      <c r="D895">
        <v>6030</v>
      </c>
      <c r="E895" t="str">
        <f>"070468105"</f>
        <v>070468105</v>
      </c>
      <c r="F895" t="s">
        <v>3199</v>
      </c>
      <c r="G895" t="s">
        <v>42</v>
      </c>
      <c r="H895" t="s">
        <v>3174</v>
      </c>
      <c r="I895" t="s">
        <v>3175</v>
      </c>
      <c r="J895" t="s">
        <v>3176</v>
      </c>
      <c r="K895" t="str">
        <f t="shared" si="146"/>
        <v>6023362985</v>
      </c>
      <c r="L895" t="str">
        <f>""</f>
        <v/>
      </c>
      <c r="M895" t="str">
        <f t="shared" si="147"/>
        <v>6023362263</v>
      </c>
      <c r="N895" t="str">
        <f>""</f>
        <v/>
      </c>
      <c r="O895" t="s">
        <v>3177</v>
      </c>
      <c r="P895" t="s">
        <v>3178</v>
      </c>
      <c r="R895" t="s">
        <v>964</v>
      </c>
      <c r="S895" t="s">
        <v>36</v>
      </c>
      <c r="T895" t="str">
        <f t="shared" si="148"/>
        <v>85019</v>
      </c>
      <c r="U895" t="str">
        <f>""</f>
        <v/>
      </c>
      <c r="V895" t="s">
        <v>3200</v>
      </c>
      <c r="X895" t="s">
        <v>1173</v>
      </c>
      <c r="Y895" t="s">
        <v>36</v>
      </c>
      <c r="Z895" t="str">
        <f>"85301"</f>
        <v>85301</v>
      </c>
      <c r="AA895" t="str">
        <f>""</f>
        <v/>
      </c>
      <c r="AB895" t="s">
        <v>1466</v>
      </c>
    </row>
    <row r="896" spans="1:28" x14ac:dyDescent="0.25">
      <c r="A896">
        <v>4280</v>
      </c>
      <c r="B896" t="str">
        <f t="shared" si="145"/>
        <v>070468000</v>
      </c>
      <c r="C896" t="s">
        <v>3173</v>
      </c>
      <c r="D896">
        <v>79203</v>
      </c>
      <c r="E896" t="str">
        <f>"070468115"</f>
        <v>070468115</v>
      </c>
      <c r="F896" t="s">
        <v>3201</v>
      </c>
      <c r="G896" t="s">
        <v>42</v>
      </c>
      <c r="H896" t="s">
        <v>3174</v>
      </c>
      <c r="I896" t="s">
        <v>3175</v>
      </c>
      <c r="J896" t="s">
        <v>3176</v>
      </c>
      <c r="K896" t="str">
        <f t="shared" si="146"/>
        <v>6023362985</v>
      </c>
      <c r="L896" t="str">
        <f>""</f>
        <v/>
      </c>
      <c r="M896" t="str">
        <f t="shared" si="147"/>
        <v>6023362263</v>
      </c>
      <c r="N896" t="str">
        <f>""</f>
        <v/>
      </c>
      <c r="O896" t="s">
        <v>3177</v>
      </c>
      <c r="P896" t="s">
        <v>3178</v>
      </c>
      <c r="R896" t="s">
        <v>964</v>
      </c>
      <c r="S896" t="s">
        <v>36</v>
      </c>
      <c r="T896" t="str">
        <f t="shared" si="148"/>
        <v>85019</v>
      </c>
      <c r="U896" t="str">
        <f>""</f>
        <v/>
      </c>
      <c r="V896" t="s">
        <v>3202</v>
      </c>
      <c r="X896" t="s">
        <v>964</v>
      </c>
      <c r="Y896" t="s">
        <v>36</v>
      </c>
      <c r="Z896" t="str">
        <f>"85019"</f>
        <v>85019</v>
      </c>
      <c r="AA896" t="str">
        <f>""</f>
        <v/>
      </c>
      <c r="AB896" t="s">
        <v>1466</v>
      </c>
    </row>
    <row r="897" spans="1:28" x14ac:dyDescent="0.25">
      <c r="A897">
        <v>4280</v>
      </c>
      <c r="B897" t="str">
        <f t="shared" si="145"/>
        <v>070468000</v>
      </c>
      <c r="C897" t="s">
        <v>3173</v>
      </c>
      <c r="D897">
        <v>1000041</v>
      </c>
      <c r="E897" t="str">
        <f>"070468116"</f>
        <v>070468116</v>
      </c>
      <c r="F897" t="s">
        <v>3203</v>
      </c>
      <c r="G897" t="s">
        <v>42</v>
      </c>
      <c r="H897" t="s">
        <v>3174</v>
      </c>
      <c r="I897" t="s">
        <v>3175</v>
      </c>
      <c r="J897" t="s">
        <v>3176</v>
      </c>
      <c r="K897" t="str">
        <f t="shared" si="146"/>
        <v>6023362985</v>
      </c>
      <c r="L897" t="str">
        <f>""</f>
        <v/>
      </c>
      <c r="M897" t="str">
        <f t="shared" si="147"/>
        <v>6023362263</v>
      </c>
      <c r="N897" t="str">
        <f>""</f>
        <v/>
      </c>
      <c r="O897" t="s">
        <v>3177</v>
      </c>
      <c r="P897" t="s">
        <v>3178</v>
      </c>
      <c r="R897" t="s">
        <v>964</v>
      </c>
      <c r="S897" t="s">
        <v>36</v>
      </c>
      <c r="T897" t="str">
        <f t="shared" si="148"/>
        <v>85019</v>
      </c>
      <c r="U897" t="str">
        <f>""</f>
        <v/>
      </c>
      <c r="V897" t="s">
        <v>3204</v>
      </c>
      <c r="X897" t="s">
        <v>964</v>
      </c>
      <c r="Y897" t="s">
        <v>36</v>
      </c>
      <c r="Z897" t="str">
        <f>"85019"</f>
        <v>85019</v>
      </c>
      <c r="AA897" t="str">
        <f>""</f>
        <v/>
      </c>
      <c r="AB897" t="s">
        <v>1466</v>
      </c>
    </row>
    <row r="898" spans="1:28" x14ac:dyDescent="0.25">
      <c r="A898">
        <v>4280</v>
      </c>
      <c r="B898" t="str">
        <f t="shared" si="145"/>
        <v>070468000</v>
      </c>
      <c r="C898" t="s">
        <v>3173</v>
      </c>
      <c r="D898">
        <v>1000042</v>
      </c>
      <c r="E898" t="str">
        <f>"070468117"</f>
        <v>070468117</v>
      </c>
      <c r="F898" t="s">
        <v>3205</v>
      </c>
      <c r="G898" t="s">
        <v>42</v>
      </c>
      <c r="H898" t="s">
        <v>3174</v>
      </c>
      <c r="I898" t="s">
        <v>3175</v>
      </c>
      <c r="J898" t="s">
        <v>3176</v>
      </c>
      <c r="K898" t="str">
        <f t="shared" si="146"/>
        <v>6023362985</v>
      </c>
      <c r="L898" t="str">
        <f>""</f>
        <v/>
      </c>
      <c r="M898" t="str">
        <f t="shared" si="147"/>
        <v>6023362263</v>
      </c>
      <c r="N898" t="str">
        <f>""</f>
        <v/>
      </c>
      <c r="O898" t="s">
        <v>3177</v>
      </c>
      <c r="P898" t="s">
        <v>3178</v>
      </c>
      <c r="R898" t="s">
        <v>964</v>
      </c>
      <c r="S898" t="s">
        <v>36</v>
      </c>
      <c r="T898" t="str">
        <f t="shared" si="148"/>
        <v>85019</v>
      </c>
      <c r="U898" t="str">
        <f>""</f>
        <v/>
      </c>
      <c r="V898" t="s">
        <v>3206</v>
      </c>
      <c r="X898" t="s">
        <v>964</v>
      </c>
      <c r="Y898" t="s">
        <v>36</v>
      </c>
      <c r="Z898" t="str">
        <f>"85019"</f>
        <v>85019</v>
      </c>
      <c r="AA898" t="str">
        <f>""</f>
        <v/>
      </c>
      <c r="AB898" t="s">
        <v>1466</v>
      </c>
    </row>
    <row r="899" spans="1:28" x14ac:dyDescent="0.25">
      <c r="A899">
        <v>4281</v>
      </c>
      <c r="B899" t="str">
        <f t="shared" ref="B899:B913" si="149">"070479000"</f>
        <v>070479000</v>
      </c>
      <c r="C899" t="s">
        <v>3207</v>
      </c>
      <c r="D899">
        <v>0</v>
      </c>
      <c r="E899" t="str">
        <f>""</f>
        <v/>
      </c>
      <c r="G899" t="s">
        <v>29</v>
      </c>
      <c r="H899" t="s">
        <v>491</v>
      </c>
      <c r="I899" t="s">
        <v>3208</v>
      </c>
      <c r="J899" t="s">
        <v>2661</v>
      </c>
      <c r="K899" t="str">
        <f>"6235356000"</f>
        <v>6235356000</v>
      </c>
      <c r="L899" t="str">
        <f>""</f>
        <v/>
      </c>
      <c r="M899" t="str">
        <f>"6239351448"</f>
        <v>6239351448</v>
      </c>
      <c r="N899" t="str">
        <f>""</f>
        <v/>
      </c>
      <c r="O899" t="s">
        <v>3209</v>
      </c>
      <c r="P899" t="s">
        <v>3210</v>
      </c>
      <c r="R899" t="s">
        <v>3211</v>
      </c>
      <c r="S899" t="s">
        <v>36</v>
      </c>
      <c r="T899" t="str">
        <f>"85340"</f>
        <v>85340</v>
      </c>
      <c r="U899" t="str">
        <f>""</f>
        <v/>
      </c>
      <c r="V899" t="s">
        <v>3212</v>
      </c>
      <c r="X899" t="s">
        <v>3211</v>
      </c>
      <c r="Y899" t="s">
        <v>36</v>
      </c>
      <c r="Z899" t="str">
        <f>"85340"</f>
        <v>85340</v>
      </c>
      <c r="AA899" t="str">
        <f>""</f>
        <v/>
      </c>
      <c r="AB899" t="s">
        <v>821</v>
      </c>
    </row>
    <row r="900" spans="1:28" x14ac:dyDescent="0.25">
      <c r="A900">
        <v>4281</v>
      </c>
      <c r="B900" t="str">
        <f t="shared" si="149"/>
        <v>070479000</v>
      </c>
      <c r="C900" t="s">
        <v>3207</v>
      </c>
      <c r="D900">
        <v>5393</v>
      </c>
      <c r="E900" t="str">
        <f>"070479101"</f>
        <v>070479101</v>
      </c>
      <c r="F900" t="s">
        <v>3213</v>
      </c>
      <c r="G900" t="s">
        <v>42</v>
      </c>
      <c r="H900" t="s">
        <v>3214</v>
      </c>
      <c r="I900" t="s">
        <v>3215</v>
      </c>
      <c r="J900" t="s">
        <v>202</v>
      </c>
      <c r="K900" t="str">
        <f t="shared" ref="K900:K906" si="150">"6235356060"</f>
        <v>6235356060</v>
      </c>
      <c r="L900" t="str">
        <f>""</f>
        <v/>
      </c>
      <c r="M900" t="str">
        <f t="shared" ref="M900:M913" si="151">"6239353398"</f>
        <v>6239353398</v>
      </c>
      <c r="N900" t="str">
        <f>""</f>
        <v/>
      </c>
      <c r="O900" t="s">
        <v>3216</v>
      </c>
      <c r="P900" t="s">
        <v>3210</v>
      </c>
      <c r="R900" t="s">
        <v>3211</v>
      </c>
      <c r="S900" t="s">
        <v>36</v>
      </c>
      <c r="T900" t="str">
        <f>"85340"</f>
        <v>85340</v>
      </c>
      <c r="U900" t="str">
        <f>""</f>
        <v/>
      </c>
      <c r="V900" t="s">
        <v>3217</v>
      </c>
      <c r="X900" t="s">
        <v>3211</v>
      </c>
      <c r="Y900" t="s">
        <v>36</v>
      </c>
      <c r="Z900" t="str">
        <f>"85340"</f>
        <v>85340</v>
      </c>
      <c r="AA900" t="str">
        <f>""</f>
        <v/>
      </c>
      <c r="AB900" t="s">
        <v>821</v>
      </c>
    </row>
    <row r="901" spans="1:28" x14ac:dyDescent="0.25">
      <c r="A901">
        <v>4281</v>
      </c>
      <c r="B901" t="str">
        <f t="shared" si="149"/>
        <v>070479000</v>
      </c>
      <c r="C901" t="s">
        <v>3207</v>
      </c>
      <c r="D901">
        <v>5394</v>
      </c>
      <c r="E901" t="str">
        <f>"070479102"</f>
        <v>070479102</v>
      </c>
      <c r="F901" t="s">
        <v>3218</v>
      </c>
      <c r="G901" t="s">
        <v>42</v>
      </c>
      <c r="H901" t="s">
        <v>3214</v>
      </c>
      <c r="I901" t="s">
        <v>3215</v>
      </c>
      <c r="J901" t="s">
        <v>202</v>
      </c>
      <c r="K901" t="str">
        <f t="shared" si="150"/>
        <v>6235356060</v>
      </c>
      <c r="L901" t="str">
        <f>""</f>
        <v/>
      </c>
      <c r="M901" t="str">
        <f t="shared" si="151"/>
        <v>6239353398</v>
      </c>
      <c r="N901" t="str">
        <f>""</f>
        <v/>
      </c>
      <c r="O901" t="s">
        <v>3216</v>
      </c>
      <c r="P901" t="s">
        <v>3210</v>
      </c>
      <c r="R901" t="s">
        <v>3211</v>
      </c>
      <c r="S901" t="s">
        <v>36</v>
      </c>
      <c r="T901" t="str">
        <f>"85340"</f>
        <v>85340</v>
      </c>
      <c r="U901" t="str">
        <f>""</f>
        <v/>
      </c>
      <c r="V901" t="s">
        <v>3219</v>
      </c>
      <c r="X901" t="s">
        <v>3211</v>
      </c>
      <c r="Y901" t="s">
        <v>36</v>
      </c>
      <c r="Z901" t="str">
        <f>"85340"</f>
        <v>85340</v>
      </c>
      <c r="AA901" t="str">
        <f>""</f>
        <v/>
      </c>
      <c r="AB901" t="s">
        <v>821</v>
      </c>
    </row>
    <row r="902" spans="1:28" x14ac:dyDescent="0.25">
      <c r="A902">
        <v>4281</v>
      </c>
      <c r="B902" t="str">
        <f t="shared" si="149"/>
        <v>070479000</v>
      </c>
      <c r="C902" t="s">
        <v>3207</v>
      </c>
      <c r="D902">
        <v>5395</v>
      </c>
      <c r="E902" t="str">
        <f>"070479103"</f>
        <v>070479103</v>
      </c>
      <c r="F902" t="s">
        <v>3220</v>
      </c>
      <c r="G902" t="s">
        <v>42</v>
      </c>
      <c r="H902" t="s">
        <v>3214</v>
      </c>
      <c r="I902" t="s">
        <v>3215</v>
      </c>
      <c r="J902" t="s">
        <v>202</v>
      </c>
      <c r="K902" t="str">
        <f t="shared" si="150"/>
        <v>6235356060</v>
      </c>
      <c r="L902" t="str">
        <f>""</f>
        <v/>
      </c>
      <c r="M902" t="str">
        <f t="shared" si="151"/>
        <v>6239353398</v>
      </c>
      <c r="N902" t="str">
        <f>""</f>
        <v/>
      </c>
      <c r="O902" t="s">
        <v>3216</v>
      </c>
      <c r="P902" t="s">
        <v>3210</v>
      </c>
      <c r="R902" t="s">
        <v>3211</v>
      </c>
      <c r="S902" t="s">
        <v>36</v>
      </c>
      <c r="T902" t="str">
        <f>"85395"</f>
        <v>85395</v>
      </c>
      <c r="U902" t="str">
        <f>""</f>
        <v/>
      </c>
      <c r="V902" t="s">
        <v>3221</v>
      </c>
      <c r="X902" t="s">
        <v>2670</v>
      </c>
      <c r="Y902" t="s">
        <v>36</v>
      </c>
      <c r="Z902" t="str">
        <f>"85338"</f>
        <v>85338</v>
      </c>
      <c r="AA902" t="str">
        <f>""</f>
        <v/>
      </c>
      <c r="AB902" t="s">
        <v>821</v>
      </c>
    </row>
    <row r="903" spans="1:28" x14ac:dyDescent="0.25">
      <c r="A903">
        <v>4281</v>
      </c>
      <c r="B903" t="str">
        <f t="shared" si="149"/>
        <v>070479000</v>
      </c>
      <c r="C903" t="s">
        <v>3207</v>
      </c>
      <c r="D903">
        <v>5396</v>
      </c>
      <c r="E903" t="str">
        <f>"070479104"</f>
        <v>070479104</v>
      </c>
      <c r="F903" t="s">
        <v>3222</v>
      </c>
      <c r="G903" t="s">
        <v>42</v>
      </c>
      <c r="H903" t="s">
        <v>3214</v>
      </c>
      <c r="I903" t="s">
        <v>3215</v>
      </c>
      <c r="J903" t="s">
        <v>202</v>
      </c>
      <c r="K903" t="str">
        <f t="shared" si="150"/>
        <v>6235356060</v>
      </c>
      <c r="L903" t="str">
        <f>""</f>
        <v/>
      </c>
      <c r="M903" t="str">
        <f t="shared" si="151"/>
        <v>6239353398</v>
      </c>
      <c r="N903" t="str">
        <f>""</f>
        <v/>
      </c>
      <c r="O903" t="s">
        <v>3216</v>
      </c>
      <c r="P903" t="s">
        <v>3210</v>
      </c>
      <c r="R903" t="s">
        <v>3211</v>
      </c>
      <c r="S903" t="s">
        <v>36</v>
      </c>
      <c r="T903" t="str">
        <f t="shared" ref="T903:T913" si="152">"85340"</f>
        <v>85340</v>
      </c>
      <c r="U903" t="str">
        <f>""</f>
        <v/>
      </c>
      <c r="V903" t="s">
        <v>3223</v>
      </c>
      <c r="X903" t="s">
        <v>2670</v>
      </c>
      <c r="Y903" t="s">
        <v>36</v>
      </c>
      <c r="Z903" t="str">
        <f>"85395"</f>
        <v>85395</v>
      </c>
      <c r="AA903" t="str">
        <f>""</f>
        <v/>
      </c>
      <c r="AB903" t="s">
        <v>821</v>
      </c>
    </row>
    <row r="904" spans="1:28" x14ac:dyDescent="0.25">
      <c r="A904">
        <v>4281</v>
      </c>
      <c r="B904" t="str">
        <f t="shared" si="149"/>
        <v>070479000</v>
      </c>
      <c r="C904" t="s">
        <v>3207</v>
      </c>
      <c r="D904">
        <v>78925</v>
      </c>
      <c r="E904" t="str">
        <f>"070479105"</f>
        <v>070479105</v>
      </c>
      <c r="F904" t="s">
        <v>3224</v>
      </c>
      <c r="G904" t="s">
        <v>42</v>
      </c>
      <c r="H904" t="s">
        <v>3214</v>
      </c>
      <c r="I904" t="s">
        <v>3215</v>
      </c>
      <c r="J904" t="s">
        <v>202</v>
      </c>
      <c r="K904" t="str">
        <f t="shared" si="150"/>
        <v>6235356060</v>
      </c>
      <c r="L904" t="str">
        <f>""</f>
        <v/>
      </c>
      <c r="M904" t="str">
        <f t="shared" si="151"/>
        <v>6239353398</v>
      </c>
      <c r="N904" t="str">
        <f>""</f>
        <v/>
      </c>
      <c r="O904" t="s">
        <v>3216</v>
      </c>
      <c r="P904" t="s">
        <v>3210</v>
      </c>
      <c r="R904" t="s">
        <v>3211</v>
      </c>
      <c r="S904" t="s">
        <v>36</v>
      </c>
      <c r="T904" t="str">
        <f t="shared" si="152"/>
        <v>85340</v>
      </c>
      <c r="U904" t="str">
        <f>""</f>
        <v/>
      </c>
      <c r="V904" t="s">
        <v>3225</v>
      </c>
      <c r="X904" t="s">
        <v>2893</v>
      </c>
      <c r="Y904" t="s">
        <v>36</v>
      </c>
      <c r="Z904" t="str">
        <f>"85392"</f>
        <v>85392</v>
      </c>
      <c r="AA904" t="str">
        <f>""</f>
        <v/>
      </c>
      <c r="AB904" t="s">
        <v>821</v>
      </c>
    </row>
    <row r="905" spans="1:28" x14ac:dyDescent="0.25">
      <c r="A905">
        <v>4281</v>
      </c>
      <c r="B905" t="str">
        <f t="shared" si="149"/>
        <v>070479000</v>
      </c>
      <c r="C905" t="s">
        <v>3207</v>
      </c>
      <c r="D905">
        <v>79221</v>
      </c>
      <c r="E905" t="str">
        <f>"070479107"</f>
        <v>070479107</v>
      </c>
      <c r="F905" t="s">
        <v>3226</v>
      </c>
      <c r="G905" t="s">
        <v>42</v>
      </c>
      <c r="H905" t="s">
        <v>3214</v>
      </c>
      <c r="I905" t="s">
        <v>3215</v>
      </c>
      <c r="J905" t="s">
        <v>202</v>
      </c>
      <c r="K905" t="str">
        <f t="shared" si="150"/>
        <v>6235356060</v>
      </c>
      <c r="L905" t="str">
        <f>""</f>
        <v/>
      </c>
      <c r="M905" t="str">
        <f t="shared" si="151"/>
        <v>6239353398</v>
      </c>
      <c r="N905" t="str">
        <f>""</f>
        <v/>
      </c>
      <c r="O905" t="s">
        <v>3216</v>
      </c>
      <c r="P905" t="s">
        <v>3227</v>
      </c>
      <c r="R905" t="s">
        <v>3211</v>
      </c>
      <c r="S905" t="s">
        <v>36</v>
      </c>
      <c r="T905" t="str">
        <f t="shared" si="152"/>
        <v>85340</v>
      </c>
      <c r="U905" t="str">
        <f>""</f>
        <v/>
      </c>
      <c r="V905" t="s">
        <v>3228</v>
      </c>
      <c r="X905" t="s">
        <v>3211</v>
      </c>
      <c r="Y905" t="s">
        <v>36</v>
      </c>
      <c r="Z905" t="str">
        <f>"85340"</f>
        <v>85340</v>
      </c>
      <c r="AA905" t="str">
        <f>""</f>
        <v/>
      </c>
      <c r="AB905" t="s">
        <v>821</v>
      </c>
    </row>
    <row r="906" spans="1:28" x14ac:dyDescent="0.25">
      <c r="A906">
        <v>4281</v>
      </c>
      <c r="B906" t="str">
        <f t="shared" si="149"/>
        <v>070479000</v>
      </c>
      <c r="C906" t="s">
        <v>3207</v>
      </c>
      <c r="D906">
        <v>80054</v>
      </c>
      <c r="E906" t="str">
        <f>"070479108"</f>
        <v>070479108</v>
      </c>
      <c r="F906" t="s">
        <v>3229</v>
      </c>
      <c r="G906" t="s">
        <v>42</v>
      </c>
      <c r="H906" t="s">
        <v>3214</v>
      </c>
      <c r="I906" t="s">
        <v>3215</v>
      </c>
      <c r="J906" t="s">
        <v>202</v>
      </c>
      <c r="K906" t="str">
        <f t="shared" si="150"/>
        <v>6235356060</v>
      </c>
      <c r="L906" t="str">
        <f>""</f>
        <v/>
      </c>
      <c r="M906" t="str">
        <f t="shared" si="151"/>
        <v>6239353398</v>
      </c>
      <c r="N906" t="str">
        <f>""</f>
        <v/>
      </c>
      <c r="O906" t="s">
        <v>3216</v>
      </c>
      <c r="P906" t="s">
        <v>3230</v>
      </c>
      <c r="R906" t="s">
        <v>3211</v>
      </c>
      <c r="S906" t="s">
        <v>36</v>
      </c>
      <c r="T906" t="str">
        <f t="shared" si="152"/>
        <v>85340</v>
      </c>
      <c r="U906" t="str">
        <f>""</f>
        <v/>
      </c>
      <c r="V906" t="s">
        <v>3231</v>
      </c>
      <c r="X906" t="s">
        <v>2893</v>
      </c>
      <c r="Y906" t="s">
        <v>36</v>
      </c>
      <c r="Z906" t="str">
        <f>"85323"</f>
        <v>85323</v>
      </c>
      <c r="AA906" t="str">
        <f>""</f>
        <v/>
      </c>
      <c r="AB906" t="s">
        <v>821</v>
      </c>
    </row>
    <row r="907" spans="1:28" x14ac:dyDescent="0.25">
      <c r="A907">
        <v>4281</v>
      </c>
      <c r="B907" t="str">
        <f t="shared" si="149"/>
        <v>070479000</v>
      </c>
      <c r="C907" t="s">
        <v>3207</v>
      </c>
      <c r="D907">
        <v>85843</v>
      </c>
      <c r="E907" t="str">
        <f>"070479109"</f>
        <v>070479109</v>
      </c>
      <c r="F907" t="s">
        <v>3232</v>
      </c>
      <c r="G907" t="s">
        <v>42</v>
      </c>
      <c r="H907" t="s">
        <v>3214</v>
      </c>
      <c r="I907" t="s">
        <v>3215</v>
      </c>
      <c r="J907" t="s">
        <v>202</v>
      </c>
      <c r="K907" t="str">
        <f>"6235476060"</f>
        <v>6235476060</v>
      </c>
      <c r="L907" t="str">
        <f>""</f>
        <v/>
      </c>
      <c r="M907" t="str">
        <f t="shared" si="151"/>
        <v>6239353398</v>
      </c>
      <c r="N907" t="str">
        <f>""</f>
        <v/>
      </c>
      <c r="O907" t="s">
        <v>3216</v>
      </c>
      <c r="P907" t="s">
        <v>3233</v>
      </c>
      <c r="R907" t="s">
        <v>3211</v>
      </c>
      <c r="S907" t="s">
        <v>36</v>
      </c>
      <c r="T907" t="str">
        <f t="shared" si="152"/>
        <v>85340</v>
      </c>
      <c r="U907" t="str">
        <f>""</f>
        <v/>
      </c>
      <c r="V907" t="s">
        <v>3234</v>
      </c>
      <c r="X907" t="s">
        <v>3211</v>
      </c>
      <c r="Y907" t="s">
        <v>36</v>
      </c>
      <c r="Z907" t="str">
        <f>"85340"</f>
        <v>85340</v>
      </c>
      <c r="AA907" t="str">
        <f>""</f>
        <v/>
      </c>
      <c r="AB907" t="s">
        <v>821</v>
      </c>
    </row>
    <row r="908" spans="1:28" x14ac:dyDescent="0.25">
      <c r="A908">
        <v>4281</v>
      </c>
      <c r="B908" t="str">
        <f t="shared" si="149"/>
        <v>070479000</v>
      </c>
      <c r="C908" t="s">
        <v>3207</v>
      </c>
      <c r="D908">
        <v>85844</v>
      </c>
      <c r="E908" t="str">
        <f>"070479110"</f>
        <v>070479110</v>
      </c>
      <c r="F908" t="s">
        <v>3235</v>
      </c>
      <c r="G908" t="s">
        <v>42</v>
      </c>
      <c r="H908" t="s">
        <v>3214</v>
      </c>
      <c r="I908" t="s">
        <v>3215</v>
      </c>
      <c r="J908" t="s">
        <v>202</v>
      </c>
      <c r="K908" t="str">
        <f t="shared" ref="K908:K913" si="153">"6235356060"</f>
        <v>6235356060</v>
      </c>
      <c r="L908" t="str">
        <f>""</f>
        <v/>
      </c>
      <c r="M908" t="str">
        <f t="shared" si="151"/>
        <v>6239353398</v>
      </c>
      <c r="N908" t="str">
        <f>""</f>
        <v/>
      </c>
      <c r="O908" t="s">
        <v>3216</v>
      </c>
      <c r="P908" t="s">
        <v>3210</v>
      </c>
      <c r="R908" t="s">
        <v>3211</v>
      </c>
      <c r="S908" t="s">
        <v>36</v>
      </c>
      <c r="T908" t="str">
        <f t="shared" si="152"/>
        <v>85340</v>
      </c>
      <c r="U908" t="str">
        <f>""</f>
        <v/>
      </c>
      <c r="V908" t="s">
        <v>3236</v>
      </c>
      <c r="X908" t="s">
        <v>1158</v>
      </c>
      <c r="Y908" t="s">
        <v>36</v>
      </c>
      <c r="Z908" t="str">
        <f>"85396"</f>
        <v>85396</v>
      </c>
      <c r="AA908" t="str">
        <f>""</f>
        <v/>
      </c>
      <c r="AB908" t="s">
        <v>821</v>
      </c>
    </row>
    <row r="909" spans="1:28" x14ac:dyDescent="0.25">
      <c r="A909">
        <v>4281</v>
      </c>
      <c r="B909" t="str">
        <f t="shared" si="149"/>
        <v>070479000</v>
      </c>
      <c r="C909" t="s">
        <v>3207</v>
      </c>
      <c r="D909">
        <v>87522</v>
      </c>
      <c r="E909" t="str">
        <f>"070479111"</f>
        <v>070479111</v>
      </c>
      <c r="F909" t="s">
        <v>3237</v>
      </c>
      <c r="G909" t="s">
        <v>42</v>
      </c>
      <c r="H909" t="s">
        <v>3214</v>
      </c>
      <c r="I909" t="s">
        <v>3215</v>
      </c>
      <c r="J909" t="s">
        <v>202</v>
      </c>
      <c r="K909" t="str">
        <f t="shared" si="153"/>
        <v>6235356060</v>
      </c>
      <c r="L909" t="str">
        <f>""</f>
        <v/>
      </c>
      <c r="M909" t="str">
        <f t="shared" si="151"/>
        <v>6239353398</v>
      </c>
      <c r="N909" t="str">
        <f>""</f>
        <v/>
      </c>
      <c r="O909" t="s">
        <v>3216</v>
      </c>
      <c r="P909" t="s">
        <v>3210</v>
      </c>
      <c r="R909" t="s">
        <v>3211</v>
      </c>
      <c r="S909" t="s">
        <v>36</v>
      </c>
      <c r="T909" t="str">
        <f t="shared" si="152"/>
        <v>85340</v>
      </c>
      <c r="U909" t="str">
        <f>""</f>
        <v/>
      </c>
      <c r="V909" t="s">
        <v>3238</v>
      </c>
      <c r="X909" t="s">
        <v>3211</v>
      </c>
      <c r="Y909" t="s">
        <v>36</v>
      </c>
      <c r="Z909" t="str">
        <f>"85340"</f>
        <v>85340</v>
      </c>
      <c r="AA909" t="str">
        <f>""</f>
        <v/>
      </c>
      <c r="AB909" t="s">
        <v>821</v>
      </c>
    </row>
    <row r="910" spans="1:28" x14ac:dyDescent="0.25">
      <c r="A910">
        <v>4281</v>
      </c>
      <c r="B910" t="str">
        <f t="shared" si="149"/>
        <v>070479000</v>
      </c>
      <c r="C910" t="s">
        <v>3207</v>
      </c>
      <c r="D910">
        <v>89586</v>
      </c>
      <c r="E910" t="str">
        <f>"070479113"</f>
        <v>070479113</v>
      </c>
      <c r="F910" t="s">
        <v>3239</v>
      </c>
      <c r="G910" t="s">
        <v>42</v>
      </c>
      <c r="H910" t="s">
        <v>3214</v>
      </c>
      <c r="I910" t="s">
        <v>3215</v>
      </c>
      <c r="J910" t="s">
        <v>202</v>
      </c>
      <c r="K910" t="str">
        <f t="shared" si="153"/>
        <v>6235356060</v>
      </c>
      <c r="L910" t="str">
        <f>""</f>
        <v/>
      </c>
      <c r="M910" t="str">
        <f t="shared" si="151"/>
        <v>6239353398</v>
      </c>
      <c r="N910" t="str">
        <f>""</f>
        <v/>
      </c>
      <c r="O910" t="s">
        <v>3216</v>
      </c>
      <c r="P910" t="s">
        <v>3210</v>
      </c>
      <c r="R910" t="s">
        <v>3211</v>
      </c>
      <c r="S910" t="s">
        <v>36</v>
      </c>
      <c r="T910" t="str">
        <f t="shared" si="152"/>
        <v>85340</v>
      </c>
      <c r="U910" t="str">
        <f>""</f>
        <v/>
      </c>
      <c r="V910" t="s">
        <v>3240</v>
      </c>
      <c r="X910" t="s">
        <v>1158</v>
      </c>
      <c r="Y910" t="s">
        <v>36</v>
      </c>
      <c r="Z910" t="str">
        <f>"85396"</f>
        <v>85396</v>
      </c>
      <c r="AA910" t="str">
        <f>""</f>
        <v/>
      </c>
      <c r="AB910" t="s">
        <v>821</v>
      </c>
    </row>
    <row r="911" spans="1:28" x14ac:dyDescent="0.25">
      <c r="A911">
        <v>4281</v>
      </c>
      <c r="B911" t="str">
        <f t="shared" si="149"/>
        <v>070479000</v>
      </c>
      <c r="C911" t="s">
        <v>3207</v>
      </c>
      <c r="D911">
        <v>90385</v>
      </c>
      <c r="E911" t="str">
        <f>"070479112"</f>
        <v>070479112</v>
      </c>
      <c r="F911" t="s">
        <v>3241</v>
      </c>
      <c r="G911" t="s">
        <v>42</v>
      </c>
      <c r="H911" t="s">
        <v>3214</v>
      </c>
      <c r="I911" t="s">
        <v>3215</v>
      </c>
      <c r="J911" t="s">
        <v>202</v>
      </c>
      <c r="K911" t="str">
        <f t="shared" si="153"/>
        <v>6235356060</v>
      </c>
      <c r="L911" t="str">
        <f>""</f>
        <v/>
      </c>
      <c r="M911" t="str">
        <f t="shared" si="151"/>
        <v>6239353398</v>
      </c>
      <c r="N911" t="str">
        <f>""</f>
        <v/>
      </c>
      <c r="O911" t="s">
        <v>3242</v>
      </c>
      <c r="P911" t="s">
        <v>3210</v>
      </c>
      <c r="R911" t="s">
        <v>3211</v>
      </c>
      <c r="S911" t="s">
        <v>36</v>
      </c>
      <c r="T911" t="str">
        <f t="shared" si="152"/>
        <v>85340</v>
      </c>
      <c r="U911" t="str">
        <f>""</f>
        <v/>
      </c>
      <c r="V911" t="s">
        <v>3243</v>
      </c>
      <c r="X911" t="s">
        <v>3211</v>
      </c>
      <c r="Y911" t="s">
        <v>36</v>
      </c>
      <c r="Z911" t="str">
        <f>"85340"</f>
        <v>85340</v>
      </c>
      <c r="AA911" t="str">
        <f>""</f>
        <v/>
      </c>
      <c r="AB911" t="s">
        <v>821</v>
      </c>
    </row>
    <row r="912" spans="1:28" x14ac:dyDescent="0.25">
      <c r="A912">
        <v>4281</v>
      </c>
      <c r="B912" t="str">
        <f t="shared" si="149"/>
        <v>070479000</v>
      </c>
      <c r="C912" t="s">
        <v>3207</v>
      </c>
      <c r="D912">
        <v>90550</v>
      </c>
      <c r="E912" t="str">
        <f>"070479114"</f>
        <v>070479114</v>
      </c>
      <c r="F912" t="s">
        <v>3244</v>
      </c>
      <c r="G912" t="s">
        <v>42</v>
      </c>
      <c r="H912" t="s">
        <v>3214</v>
      </c>
      <c r="I912" t="s">
        <v>3215</v>
      </c>
      <c r="J912" t="s">
        <v>202</v>
      </c>
      <c r="K912" t="str">
        <f t="shared" si="153"/>
        <v>6235356060</v>
      </c>
      <c r="L912" t="str">
        <f>""</f>
        <v/>
      </c>
      <c r="M912" t="str">
        <f t="shared" si="151"/>
        <v>6239353398</v>
      </c>
      <c r="N912" t="str">
        <f>""</f>
        <v/>
      </c>
      <c r="O912" t="s">
        <v>3216</v>
      </c>
      <c r="P912" t="s">
        <v>3210</v>
      </c>
      <c r="R912" t="s">
        <v>3211</v>
      </c>
      <c r="S912" t="s">
        <v>36</v>
      </c>
      <c r="T912" t="str">
        <f t="shared" si="152"/>
        <v>85340</v>
      </c>
      <c r="U912" t="str">
        <f>""</f>
        <v/>
      </c>
      <c r="V912" t="s">
        <v>3245</v>
      </c>
      <c r="X912" t="s">
        <v>2670</v>
      </c>
      <c r="Y912" t="s">
        <v>36</v>
      </c>
      <c r="Z912" t="str">
        <f>"85395"</f>
        <v>85395</v>
      </c>
      <c r="AA912" t="str">
        <f>""</f>
        <v/>
      </c>
      <c r="AB912" t="s">
        <v>821</v>
      </c>
    </row>
    <row r="913" spans="1:28" x14ac:dyDescent="0.25">
      <c r="A913">
        <v>4281</v>
      </c>
      <c r="B913" t="str">
        <f t="shared" si="149"/>
        <v>070479000</v>
      </c>
      <c r="C913" t="s">
        <v>3207</v>
      </c>
      <c r="D913">
        <v>92878</v>
      </c>
      <c r="E913" t="str">
        <f>"070479115"</f>
        <v>070479115</v>
      </c>
      <c r="F913" t="s">
        <v>3246</v>
      </c>
      <c r="G913" t="s">
        <v>42</v>
      </c>
      <c r="H913" t="s">
        <v>3214</v>
      </c>
      <c r="I913" t="s">
        <v>3215</v>
      </c>
      <c r="J913" t="s">
        <v>202</v>
      </c>
      <c r="K913" t="str">
        <f t="shared" si="153"/>
        <v>6235356060</v>
      </c>
      <c r="L913" t="str">
        <f>""</f>
        <v/>
      </c>
      <c r="M913" t="str">
        <f t="shared" si="151"/>
        <v>6239353398</v>
      </c>
      <c r="N913" t="str">
        <f>""</f>
        <v/>
      </c>
      <c r="O913" t="s">
        <v>3216</v>
      </c>
      <c r="P913" t="s">
        <v>3227</v>
      </c>
      <c r="R913" t="s">
        <v>3211</v>
      </c>
      <c r="S913" t="s">
        <v>36</v>
      </c>
      <c r="T913" t="str">
        <f t="shared" si="152"/>
        <v>85340</v>
      </c>
      <c r="U913" t="str">
        <f>""</f>
        <v/>
      </c>
      <c r="V913" t="s">
        <v>3247</v>
      </c>
      <c r="X913" t="s">
        <v>1158</v>
      </c>
      <c r="Y913" t="s">
        <v>36</v>
      </c>
      <c r="Z913" t="str">
        <f>"85396"</f>
        <v>85396</v>
      </c>
      <c r="AA913" t="str">
        <f>""</f>
        <v/>
      </c>
      <c r="AB913" t="s">
        <v>821</v>
      </c>
    </row>
    <row r="914" spans="1:28" x14ac:dyDescent="0.25">
      <c r="A914">
        <v>4282</v>
      </c>
      <c r="B914" t="str">
        <f t="shared" ref="B914:B938" si="154">"070483000"</f>
        <v>070483000</v>
      </c>
      <c r="C914" t="s">
        <v>3248</v>
      </c>
      <c r="D914">
        <v>0</v>
      </c>
      <c r="E914" t="str">
        <f>""</f>
        <v/>
      </c>
      <c r="G914" t="s">
        <v>29</v>
      </c>
      <c r="H914" t="s">
        <v>2999</v>
      </c>
      <c r="I914" t="s">
        <v>3249</v>
      </c>
      <c r="J914" t="s">
        <v>202</v>
      </c>
      <c r="K914" t="str">
        <f>"6236914045"</f>
        <v>6236914045</v>
      </c>
      <c r="L914" t="str">
        <f>""</f>
        <v/>
      </c>
      <c r="M914" t="str">
        <f>""</f>
        <v/>
      </c>
      <c r="N914" t="str">
        <f>""</f>
        <v/>
      </c>
      <c r="O914" t="s">
        <v>3250</v>
      </c>
      <c r="P914" t="s">
        <v>3251</v>
      </c>
      <c r="R914" t="s">
        <v>964</v>
      </c>
      <c r="S914" t="s">
        <v>36</v>
      </c>
      <c r="T914" t="str">
        <f>"85031"</f>
        <v>85031</v>
      </c>
      <c r="U914" t="str">
        <f>""</f>
        <v/>
      </c>
      <c r="V914" t="s">
        <v>3251</v>
      </c>
      <c r="X914" t="s">
        <v>964</v>
      </c>
      <c r="Y914" t="s">
        <v>36</v>
      </c>
      <c r="Z914" t="str">
        <f>"85031"</f>
        <v>85031</v>
      </c>
      <c r="AA914" t="str">
        <f>""</f>
        <v/>
      </c>
      <c r="AB914" t="s">
        <v>516</v>
      </c>
    </row>
    <row r="915" spans="1:28" x14ac:dyDescent="0.25">
      <c r="A915">
        <v>4282</v>
      </c>
      <c r="B915" t="str">
        <f t="shared" si="154"/>
        <v>070483000</v>
      </c>
      <c r="C915" t="s">
        <v>3248</v>
      </c>
      <c r="D915">
        <v>5398</v>
      </c>
      <c r="E915" t="str">
        <f>"070483101"</f>
        <v>070483101</v>
      </c>
      <c r="F915" t="s">
        <v>3252</v>
      </c>
      <c r="G915" t="s">
        <v>42</v>
      </c>
      <c r="H915" t="s">
        <v>1573</v>
      </c>
      <c r="I915" t="s">
        <v>3253</v>
      </c>
      <c r="J915" t="s">
        <v>926</v>
      </c>
      <c r="K915" t="str">
        <f>"6236914130"</f>
        <v>6236914130</v>
      </c>
      <c r="L915" t="str">
        <f>""</f>
        <v/>
      </c>
      <c r="M915" t="str">
        <f>""</f>
        <v/>
      </c>
      <c r="N915" t="str">
        <f>""</f>
        <v/>
      </c>
      <c r="O915" t="s">
        <v>3254</v>
      </c>
      <c r="P915" t="s">
        <v>3255</v>
      </c>
      <c r="R915" t="s">
        <v>964</v>
      </c>
      <c r="S915" t="s">
        <v>36</v>
      </c>
      <c r="T915" t="str">
        <f>"85035"</f>
        <v>85035</v>
      </c>
      <c r="U915" t="str">
        <f>""</f>
        <v/>
      </c>
      <c r="V915" t="s">
        <v>3255</v>
      </c>
      <c r="X915" t="s">
        <v>964</v>
      </c>
      <c r="Y915" t="s">
        <v>36</v>
      </c>
      <c r="Z915" t="str">
        <f>"85035"</f>
        <v>85035</v>
      </c>
      <c r="AA915" t="str">
        <f>""</f>
        <v/>
      </c>
      <c r="AB915" t="s">
        <v>516</v>
      </c>
    </row>
    <row r="916" spans="1:28" x14ac:dyDescent="0.25">
      <c r="A916">
        <v>4282</v>
      </c>
      <c r="B916" t="str">
        <f t="shared" si="154"/>
        <v>070483000</v>
      </c>
      <c r="C916" t="s">
        <v>3248</v>
      </c>
      <c r="D916">
        <v>5399</v>
      </c>
      <c r="E916" t="str">
        <f>"070483102"</f>
        <v>070483102</v>
      </c>
      <c r="F916" t="s">
        <v>3256</v>
      </c>
      <c r="G916" t="s">
        <v>42</v>
      </c>
      <c r="H916" t="s">
        <v>3257</v>
      </c>
      <c r="I916" t="s">
        <v>3258</v>
      </c>
      <c r="J916" t="s">
        <v>926</v>
      </c>
      <c r="K916" t="str">
        <f>"6236914230"</f>
        <v>6236914230</v>
      </c>
      <c r="L916" t="str">
        <f>""</f>
        <v/>
      </c>
      <c r="M916" t="str">
        <f>""</f>
        <v/>
      </c>
      <c r="N916" t="str">
        <f>""</f>
        <v/>
      </c>
      <c r="O916" t="s">
        <v>3259</v>
      </c>
      <c r="P916" t="s">
        <v>3260</v>
      </c>
      <c r="R916" t="s">
        <v>964</v>
      </c>
      <c r="S916" t="s">
        <v>36</v>
      </c>
      <c r="T916" t="str">
        <f>"85031"</f>
        <v>85031</v>
      </c>
      <c r="U916" t="str">
        <f>""</f>
        <v/>
      </c>
      <c r="V916" t="s">
        <v>3260</v>
      </c>
      <c r="X916" t="s">
        <v>964</v>
      </c>
      <c r="Y916" t="s">
        <v>36</v>
      </c>
      <c r="Z916" t="str">
        <f>"85031"</f>
        <v>85031</v>
      </c>
      <c r="AA916" t="str">
        <f>""</f>
        <v/>
      </c>
      <c r="AB916" t="s">
        <v>516</v>
      </c>
    </row>
    <row r="917" spans="1:28" x14ac:dyDescent="0.25">
      <c r="A917">
        <v>4282</v>
      </c>
      <c r="B917" t="str">
        <f t="shared" si="154"/>
        <v>070483000</v>
      </c>
      <c r="C917" t="s">
        <v>3248</v>
      </c>
      <c r="D917">
        <v>5400</v>
      </c>
      <c r="E917" t="str">
        <f>"070483103"</f>
        <v>070483103</v>
      </c>
      <c r="F917" t="s">
        <v>3261</v>
      </c>
      <c r="G917" t="s">
        <v>42</v>
      </c>
      <c r="H917" t="s">
        <v>3262</v>
      </c>
      <c r="I917" t="s">
        <v>3263</v>
      </c>
      <c r="J917" t="s">
        <v>926</v>
      </c>
      <c r="K917" t="str">
        <f>"6236914330"</f>
        <v>6236914330</v>
      </c>
      <c r="L917" t="str">
        <f>""</f>
        <v/>
      </c>
      <c r="M917" t="str">
        <f>""</f>
        <v/>
      </c>
      <c r="N917" t="str">
        <f>""</f>
        <v/>
      </c>
      <c r="O917" t="s">
        <v>3264</v>
      </c>
      <c r="P917" t="s">
        <v>3265</v>
      </c>
      <c r="R917" t="s">
        <v>964</v>
      </c>
      <c r="S917" t="s">
        <v>36</v>
      </c>
      <c r="T917" t="str">
        <f>"85031"</f>
        <v>85031</v>
      </c>
      <c r="U917" t="str">
        <f>""</f>
        <v/>
      </c>
      <c r="V917" t="s">
        <v>3265</v>
      </c>
      <c r="X917" t="s">
        <v>964</v>
      </c>
      <c r="Y917" t="s">
        <v>36</v>
      </c>
      <c r="Z917" t="str">
        <f>"85031"</f>
        <v>85031</v>
      </c>
      <c r="AA917" t="str">
        <f>""</f>
        <v/>
      </c>
      <c r="AB917" t="s">
        <v>516</v>
      </c>
    </row>
    <row r="918" spans="1:28" x14ac:dyDescent="0.25">
      <c r="A918">
        <v>4282</v>
      </c>
      <c r="B918" t="str">
        <f t="shared" si="154"/>
        <v>070483000</v>
      </c>
      <c r="C918" t="s">
        <v>3248</v>
      </c>
      <c r="D918">
        <v>5401</v>
      </c>
      <c r="E918" t="str">
        <f>"070483104"</f>
        <v>070483104</v>
      </c>
      <c r="F918" t="s">
        <v>3266</v>
      </c>
      <c r="G918" t="s">
        <v>42</v>
      </c>
      <c r="H918" t="s">
        <v>3267</v>
      </c>
      <c r="I918" t="s">
        <v>3268</v>
      </c>
      <c r="J918" t="s">
        <v>926</v>
      </c>
      <c r="K918" t="str">
        <f>"6236914430"</f>
        <v>6236914430</v>
      </c>
      <c r="L918" t="str">
        <f>""</f>
        <v/>
      </c>
      <c r="M918" t="str">
        <f>""</f>
        <v/>
      </c>
      <c r="N918" t="str">
        <f>""</f>
        <v/>
      </c>
      <c r="O918" t="s">
        <v>3269</v>
      </c>
      <c r="P918" t="s">
        <v>3270</v>
      </c>
      <c r="R918" t="s">
        <v>964</v>
      </c>
      <c r="S918" t="s">
        <v>36</v>
      </c>
      <c r="T918" t="str">
        <f>"85033"</f>
        <v>85033</v>
      </c>
      <c r="U918" t="str">
        <f>""</f>
        <v/>
      </c>
      <c r="V918" t="s">
        <v>3270</v>
      </c>
      <c r="X918" t="s">
        <v>964</v>
      </c>
      <c r="Y918" t="s">
        <v>36</v>
      </c>
      <c r="Z918" t="str">
        <f>"85033"</f>
        <v>85033</v>
      </c>
      <c r="AA918" t="str">
        <f>""</f>
        <v/>
      </c>
      <c r="AB918" t="s">
        <v>516</v>
      </c>
    </row>
    <row r="919" spans="1:28" x14ac:dyDescent="0.25">
      <c r="A919">
        <v>4282</v>
      </c>
      <c r="B919" t="str">
        <f t="shared" si="154"/>
        <v>070483000</v>
      </c>
      <c r="C919" t="s">
        <v>3248</v>
      </c>
      <c r="D919">
        <v>5402</v>
      </c>
      <c r="E919" t="str">
        <f>"070483105"</f>
        <v>070483105</v>
      </c>
      <c r="F919" t="s">
        <v>3271</v>
      </c>
      <c r="G919" t="s">
        <v>42</v>
      </c>
      <c r="H919" t="s">
        <v>3272</v>
      </c>
      <c r="I919" t="s">
        <v>2619</v>
      </c>
      <c r="J919" t="s">
        <v>926</v>
      </c>
      <c r="K919" t="str">
        <f>"6236914530"</f>
        <v>6236914530</v>
      </c>
      <c r="L919" t="str">
        <f>""</f>
        <v/>
      </c>
      <c r="M919" t="str">
        <f>""</f>
        <v/>
      </c>
      <c r="N919" t="str">
        <f>""</f>
        <v/>
      </c>
      <c r="O919" t="s">
        <v>3273</v>
      </c>
      <c r="P919" t="s">
        <v>3274</v>
      </c>
      <c r="R919" t="s">
        <v>964</v>
      </c>
      <c r="S919" t="s">
        <v>36</v>
      </c>
      <c r="T919" t="str">
        <f>"85033"</f>
        <v>85033</v>
      </c>
      <c r="U919" t="str">
        <f>""</f>
        <v/>
      </c>
      <c r="V919" t="s">
        <v>3274</v>
      </c>
      <c r="X919" t="s">
        <v>964</v>
      </c>
      <c r="Y919" t="s">
        <v>36</v>
      </c>
      <c r="Z919" t="str">
        <f>"85033"</f>
        <v>85033</v>
      </c>
      <c r="AA919" t="str">
        <f>""</f>
        <v/>
      </c>
      <c r="AB919" t="s">
        <v>516</v>
      </c>
    </row>
    <row r="920" spans="1:28" x14ac:dyDescent="0.25">
      <c r="A920">
        <v>4282</v>
      </c>
      <c r="B920" t="str">
        <f t="shared" si="154"/>
        <v>070483000</v>
      </c>
      <c r="C920" t="s">
        <v>3248</v>
      </c>
      <c r="D920">
        <v>5403</v>
      </c>
      <c r="E920" t="str">
        <f>"070483106"</f>
        <v>070483106</v>
      </c>
      <c r="F920" t="s">
        <v>2541</v>
      </c>
      <c r="G920" t="s">
        <v>42</v>
      </c>
      <c r="H920" t="s">
        <v>109</v>
      </c>
      <c r="I920" t="s">
        <v>3275</v>
      </c>
      <c r="J920" t="s">
        <v>926</v>
      </c>
      <c r="K920" t="str">
        <f>"6236914630"</f>
        <v>6236914630</v>
      </c>
      <c r="L920" t="str">
        <f>""</f>
        <v/>
      </c>
      <c r="M920" t="str">
        <f>""</f>
        <v/>
      </c>
      <c r="N920" t="str">
        <f>""</f>
        <v/>
      </c>
      <c r="O920" t="s">
        <v>3276</v>
      </c>
      <c r="P920" t="s">
        <v>3277</v>
      </c>
      <c r="R920" t="s">
        <v>964</v>
      </c>
      <c r="S920" t="s">
        <v>36</v>
      </c>
      <c r="T920" t="str">
        <f>"85033"</f>
        <v>85033</v>
      </c>
      <c r="U920" t="str">
        <f>""</f>
        <v/>
      </c>
      <c r="V920" t="s">
        <v>3277</v>
      </c>
      <c r="X920" t="s">
        <v>964</v>
      </c>
      <c r="Y920" t="s">
        <v>36</v>
      </c>
      <c r="Z920" t="str">
        <f>"85033"</f>
        <v>85033</v>
      </c>
      <c r="AA920" t="str">
        <f>""</f>
        <v/>
      </c>
      <c r="AB920" t="s">
        <v>516</v>
      </c>
    </row>
    <row r="921" spans="1:28" x14ac:dyDescent="0.25">
      <c r="A921">
        <v>4282</v>
      </c>
      <c r="B921" t="str">
        <f t="shared" si="154"/>
        <v>070483000</v>
      </c>
      <c r="C921" t="s">
        <v>3248</v>
      </c>
      <c r="D921">
        <v>5404</v>
      </c>
      <c r="E921" t="str">
        <f>"070483107"</f>
        <v>070483107</v>
      </c>
      <c r="F921" t="s">
        <v>3278</v>
      </c>
      <c r="G921" t="s">
        <v>42</v>
      </c>
      <c r="H921" t="s">
        <v>1318</v>
      </c>
      <c r="I921" t="s">
        <v>1550</v>
      </c>
      <c r="J921" t="s">
        <v>926</v>
      </c>
      <c r="K921" t="str">
        <f>"6236914730"</f>
        <v>6236914730</v>
      </c>
      <c r="L921" t="str">
        <f>""</f>
        <v/>
      </c>
      <c r="M921" t="str">
        <f>""</f>
        <v/>
      </c>
      <c r="N921" t="str">
        <f>""</f>
        <v/>
      </c>
      <c r="O921" t="s">
        <v>3279</v>
      </c>
      <c r="P921" t="s">
        <v>3280</v>
      </c>
      <c r="R921" t="s">
        <v>964</v>
      </c>
      <c r="S921" t="s">
        <v>36</v>
      </c>
      <c r="T921" t="str">
        <f>"85033"</f>
        <v>85033</v>
      </c>
      <c r="U921" t="str">
        <f>""</f>
        <v/>
      </c>
      <c r="V921" t="s">
        <v>3280</v>
      </c>
      <c r="X921" t="s">
        <v>964</v>
      </c>
      <c r="Y921" t="s">
        <v>36</v>
      </c>
      <c r="Z921" t="str">
        <f>"85033"</f>
        <v>85033</v>
      </c>
      <c r="AA921" t="str">
        <f>""</f>
        <v/>
      </c>
      <c r="AB921" t="s">
        <v>516</v>
      </c>
    </row>
    <row r="922" spans="1:28" x14ac:dyDescent="0.25">
      <c r="A922">
        <v>4282</v>
      </c>
      <c r="B922" t="str">
        <f t="shared" si="154"/>
        <v>070483000</v>
      </c>
      <c r="C922" t="s">
        <v>3248</v>
      </c>
      <c r="D922">
        <v>5405</v>
      </c>
      <c r="E922" t="str">
        <f>"070483108"</f>
        <v>070483108</v>
      </c>
      <c r="F922" t="s">
        <v>3281</v>
      </c>
      <c r="G922" t="s">
        <v>42</v>
      </c>
      <c r="H922" t="s">
        <v>3282</v>
      </c>
      <c r="I922" t="s">
        <v>3283</v>
      </c>
      <c r="J922" t="s">
        <v>926</v>
      </c>
      <c r="K922" t="str">
        <f>"6236914830"</f>
        <v>6236914830</v>
      </c>
      <c r="L922" t="str">
        <f>""</f>
        <v/>
      </c>
      <c r="M922" t="str">
        <f>""</f>
        <v/>
      </c>
      <c r="N922" t="str">
        <f>""</f>
        <v/>
      </c>
      <c r="O922" t="s">
        <v>3284</v>
      </c>
      <c r="P922" t="s">
        <v>3285</v>
      </c>
      <c r="R922" t="s">
        <v>964</v>
      </c>
      <c r="S922" t="s">
        <v>36</v>
      </c>
      <c r="T922" t="str">
        <f>"85031"</f>
        <v>85031</v>
      </c>
      <c r="U922" t="str">
        <f>""</f>
        <v/>
      </c>
      <c r="V922" t="s">
        <v>3285</v>
      </c>
      <c r="X922" t="s">
        <v>964</v>
      </c>
      <c r="Y922" t="s">
        <v>36</v>
      </c>
      <c r="Z922" t="str">
        <f>"85031"</f>
        <v>85031</v>
      </c>
      <c r="AA922" t="str">
        <f>""</f>
        <v/>
      </c>
      <c r="AB922" t="s">
        <v>516</v>
      </c>
    </row>
    <row r="923" spans="1:28" x14ac:dyDescent="0.25">
      <c r="A923">
        <v>4282</v>
      </c>
      <c r="B923" t="str">
        <f t="shared" si="154"/>
        <v>070483000</v>
      </c>
      <c r="C923" t="s">
        <v>3248</v>
      </c>
      <c r="D923">
        <v>5406</v>
      </c>
      <c r="E923" t="str">
        <f>"070483109"</f>
        <v>070483109</v>
      </c>
      <c r="F923" t="s">
        <v>3286</v>
      </c>
      <c r="G923" t="s">
        <v>42</v>
      </c>
      <c r="H923" t="s">
        <v>3287</v>
      </c>
      <c r="I923" t="s">
        <v>3288</v>
      </c>
      <c r="J923" t="s">
        <v>926</v>
      </c>
      <c r="K923" t="str">
        <f>"6236914930"</f>
        <v>6236914930</v>
      </c>
      <c r="L923" t="str">
        <f>""</f>
        <v/>
      </c>
      <c r="M923" t="str">
        <f>""</f>
        <v/>
      </c>
      <c r="N923" t="str">
        <f>""</f>
        <v/>
      </c>
      <c r="O923" t="s">
        <v>3289</v>
      </c>
      <c r="P923" t="s">
        <v>3290</v>
      </c>
      <c r="R923" t="s">
        <v>964</v>
      </c>
      <c r="S923" t="s">
        <v>36</v>
      </c>
      <c r="T923" t="str">
        <f>"85031"</f>
        <v>85031</v>
      </c>
      <c r="U923" t="str">
        <f>""</f>
        <v/>
      </c>
      <c r="V923" t="s">
        <v>3290</v>
      </c>
      <c r="X923" t="s">
        <v>964</v>
      </c>
      <c r="Y923" t="s">
        <v>36</v>
      </c>
      <c r="Z923" t="str">
        <f>"85031"</f>
        <v>85031</v>
      </c>
      <c r="AA923" t="str">
        <f>""</f>
        <v/>
      </c>
      <c r="AB923" t="s">
        <v>516</v>
      </c>
    </row>
    <row r="924" spans="1:28" x14ac:dyDescent="0.25">
      <c r="A924">
        <v>4282</v>
      </c>
      <c r="B924" t="str">
        <f t="shared" si="154"/>
        <v>070483000</v>
      </c>
      <c r="C924" t="s">
        <v>3248</v>
      </c>
      <c r="D924">
        <v>5407</v>
      </c>
      <c r="E924" t="str">
        <f>"070483110"</f>
        <v>070483110</v>
      </c>
      <c r="F924" t="s">
        <v>3291</v>
      </c>
      <c r="G924" t="s">
        <v>42</v>
      </c>
      <c r="H924" t="s">
        <v>3292</v>
      </c>
      <c r="I924" t="s">
        <v>3293</v>
      </c>
      <c r="J924" t="s">
        <v>926</v>
      </c>
      <c r="K924" t="str">
        <f>"6236915030"</f>
        <v>6236915030</v>
      </c>
      <c r="L924" t="str">
        <f>""</f>
        <v/>
      </c>
      <c r="M924" t="str">
        <f>""</f>
        <v/>
      </c>
      <c r="N924" t="str">
        <f>""</f>
        <v/>
      </c>
      <c r="O924" t="s">
        <v>3294</v>
      </c>
      <c r="P924" t="s">
        <v>3295</v>
      </c>
      <c r="R924" t="s">
        <v>964</v>
      </c>
      <c r="S924" t="s">
        <v>36</v>
      </c>
      <c r="T924" t="str">
        <f>"85031"</f>
        <v>85031</v>
      </c>
      <c r="U924" t="str">
        <f>""</f>
        <v/>
      </c>
      <c r="V924" t="s">
        <v>3295</v>
      </c>
      <c r="X924" t="s">
        <v>964</v>
      </c>
      <c r="Y924" t="s">
        <v>36</v>
      </c>
      <c r="Z924" t="str">
        <f>"85031"</f>
        <v>85031</v>
      </c>
      <c r="AA924" t="str">
        <f>""</f>
        <v/>
      </c>
      <c r="AB924" t="s">
        <v>516</v>
      </c>
    </row>
    <row r="925" spans="1:28" x14ac:dyDescent="0.25">
      <c r="A925">
        <v>4282</v>
      </c>
      <c r="B925" t="str">
        <f t="shared" si="154"/>
        <v>070483000</v>
      </c>
      <c r="C925" t="s">
        <v>3248</v>
      </c>
      <c r="D925">
        <v>5409</v>
      </c>
      <c r="E925" t="str">
        <f>"070483112"</f>
        <v>070483112</v>
      </c>
      <c r="F925" t="s">
        <v>3296</v>
      </c>
      <c r="G925" t="s">
        <v>42</v>
      </c>
      <c r="H925" t="s">
        <v>3297</v>
      </c>
      <c r="I925" t="s">
        <v>3298</v>
      </c>
      <c r="J925" t="s">
        <v>926</v>
      </c>
      <c r="K925" t="str">
        <f>"6236915230"</f>
        <v>6236915230</v>
      </c>
      <c r="L925" t="str">
        <f>""</f>
        <v/>
      </c>
      <c r="M925" t="str">
        <f>""</f>
        <v/>
      </c>
      <c r="N925" t="str">
        <f>""</f>
        <v/>
      </c>
      <c r="O925" t="s">
        <v>3299</v>
      </c>
      <c r="P925" t="s">
        <v>3300</v>
      </c>
      <c r="R925" t="s">
        <v>964</v>
      </c>
      <c r="S925" t="s">
        <v>36</v>
      </c>
      <c r="T925" t="str">
        <f>"85033"</f>
        <v>85033</v>
      </c>
      <c r="U925" t="str">
        <f>""</f>
        <v/>
      </c>
      <c r="V925" t="s">
        <v>3300</v>
      </c>
      <c r="X925" t="s">
        <v>964</v>
      </c>
      <c r="Y925" t="s">
        <v>36</v>
      </c>
      <c r="Z925" t="str">
        <f>"85033"</f>
        <v>85033</v>
      </c>
      <c r="AA925" t="str">
        <f>""</f>
        <v/>
      </c>
      <c r="AB925" t="s">
        <v>516</v>
      </c>
    </row>
    <row r="926" spans="1:28" x14ac:dyDescent="0.25">
      <c r="A926">
        <v>4282</v>
      </c>
      <c r="B926" t="str">
        <f t="shared" si="154"/>
        <v>070483000</v>
      </c>
      <c r="C926" t="s">
        <v>3248</v>
      </c>
      <c r="D926">
        <v>5411</v>
      </c>
      <c r="E926" t="str">
        <f>"070483114"</f>
        <v>070483114</v>
      </c>
      <c r="F926" t="s">
        <v>3301</v>
      </c>
      <c r="G926" t="s">
        <v>42</v>
      </c>
      <c r="H926" t="s">
        <v>3302</v>
      </c>
      <c r="I926" t="s">
        <v>3303</v>
      </c>
      <c r="J926" t="s">
        <v>926</v>
      </c>
      <c r="K926" t="str">
        <f>"6236915430"</f>
        <v>6236915430</v>
      </c>
      <c r="L926" t="str">
        <f>""</f>
        <v/>
      </c>
      <c r="M926" t="str">
        <f>""</f>
        <v/>
      </c>
      <c r="N926" t="str">
        <f>""</f>
        <v/>
      </c>
      <c r="O926" t="s">
        <v>3304</v>
      </c>
      <c r="P926" t="s">
        <v>3305</v>
      </c>
      <c r="R926" t="s">
        <v>964</v>
      </c>
      <c r="S926" t="s">
        <v>36</v>
      </c>
      <c r="T926" t="str">
        <f>"85033"</f>
        <v>85033</v>
      </c>
      <c r="U926" t="str">
        <f>""</f>
        <v/>
      </c>
      <c r="V926" t="s">
        <v>3305</v>
      </c>
      <c r="X926" t="s">
        <v>964</v>
      </c>
      <c r="Y926" t="s">
        <v>36</v>
      </c>
      <c r="Z926" t="str">
        <f>"85033"</f>
        <v>85033</v>
      </c>
      <c r="AA926" t="str">
        <f>""</f>
        <v/>
      </c>
      <c r="AB926" t="s">
        <v>516</v>
      </c>
    </row>
    <row r="927" spans="1:28" x14ac:dyDescent="0.25">
      <c r="A927">
        <v>4282</v>
      </c>
      <c r="B927" t="str">
        <f t="shared" si="154"/>
        <v>070483000</v>
      </c>
      <c r="C927" t="s">
        <v>3248</v>
      </c>
      <c r="D927">
        <v>5412</v>
      </c>
      <c r="E927" t="str">
        <f>"070483115"</f>
        <v>070483115</v>
      </c>
      <c r="F927" t="s">
        <v>3306</v>
      </c>
      <c r="G927" t="s">
        <v>42</v>
      </c>
      <c r="H927" t="s">
        <v>398</v>
      </c>
      <c r="I927" t="s">
        <v>3307</v>
      </c>
      <c r="J927" t="s">
        <v>926</v>
      </c>
      <c r="K927" t="str">
        <f>"6236915530"</f>
        <v>6236915530</v>
      </c>
      <c r="L927" t="str">
        <f>""</f>
        <v/>
      </c>
      <c r="M927" t="str">
        <f>""</f>
        <v/>
      </c>
      <c r="N927" t="str">
        <f>""</f>
        <v/>
      </c>
      <c r="O927" t="s">
        <v>3308</v>
      </c>
      <c r="P927" t="s">
        <v>3309</v>
      </c>
      <c r="R927" t="s">
        <v>964</v>
      </c>
      <c r="S927" t="s">
        <v>36</v>
      </c>
      <c r="T927" t="str">
        <f>"85035"</f>
        <v>85035</v>
      </c>
      <c r="U927" t="str">
        <f>""</f>
        <v/>
      </c>
      <c r="V927" t="s">
        <v>3309</v>
      </c>
      <c r="X927" t="s">
        <v>964</v>
      </c>
      <c r="Y927" t="s">
        <v>36</v>
      </c>
      <c r="Z927" t="str">
        <f>"85035"</f>
        <v>85035</v>
      </c>
      <c r="AA927" t="str">
        <f>""</f>
        <v/>
      </c>
      <c r="AB927" t="s">
        <v>516</v>
      </c>
    </row>
    <row r="928" spans="1:28" x14ac:dyDescent="0.25">
      <c r="A928">
        <v>4282</v>
      </c>
      <c r="B928" t="str">
        <f t="shared" si="154"/>
        <v>070483000</v>
      </c>
      <c r="C928" t="s">
        <v>3248</v>
      </c>
      <c r="D928">
        <v>5413</v>
      </c>
      <c r="E928" t="str">
        <f>"070483116"</f>
        <v>070483116</v>
      </c>
      <c r="F928" t="s">
        <v>3310</v>
      </c>
      <c r="G928" t="s">
        <v>42</v>
      </c>
      <c r="H928" t="s">
        <v>388</v>
      </c>
      <c r="I928" t="s">
        <v>3311</v>
      </c>
      <c r="J928" t="s">
        <v>926</v>
      </c>
      <c r="K928" t="str">
        <f>"6236915630"</f>
        <v>6236915630</v>
      </c>
      <c r="L928" t="str">
        <f>""</f>
        <v/>
      </c>
      <c r="M928" t="str">
        <f>""</f>
        <v/>
      </c>
      <c r="N928" t="str">
        <f>""</f>
        <v/>
      </c>
      <c r="O928" t="s">
        <v>3312</v>
      </c>
      <c r="P928" t="s">
        <v>3313</v>
      </c>
      <c r="R928" t="s">
        <v>964</v>
      </c>
      <c r="S928" t="s">
        <v>36</v>
      </c>
      <c r="T928" t="str">
        <f>"85035"</f>
        <v>85035</v>
      </c>
      <c r="U928" t="str">
        <f>""</f>
        <v/>
      </c>
      <c r="V928" t="s">
        <v>3313</v>
      </c>
      <c r="X928" t="s">
        <v>964</v>
      </c>
      <c r="Y928" t="s">
        <v>36</v>
      </c>
      <c r="Z928" t="str">
        <f>"85035"</f>
        <v>85035</v>
      </c>
      <c r="AA928" t="str">
        <f>""</f>
        <v/>
      </c>
      <c r="AB928" t="s">
        <v>516</v>
      </c>
    </row>
    <row r="929" spans="1:28" x14ac:dyDescent="0.25">
      <c r="A929">
        <v>4282</v>
      </c>
      <c r="B929" t="str">
        <f t="shared" si="154"/>
        <v>070483000</v>
      </c>
      <c r="C929" t="s">
        <v>3248</v>
      </c>
      <c r="D929">
        <v>5414</v>
      </c>
      <c r="E929" t="str">
        <f>"070483117"</f>
        <v>070483117</v>
      </c>
      <c r="F929" t="s">
        <v>3314</v>
      </c>
      <c r="G929" t="s">
        <v>42</v>
      </c>
      <c r="H929" t="s">
        <v>3315</v>
      </c>
      <c r="I929" t="s">
        <v>3316</v>
      </c>
      <c r="J929" t="s">
        <v>3317</v>
      </c>
      <c r="K929" t="str">
        <f>"6236914730"</f>
        <v>6236914730</v>
      </c>
      <c r="L929" t="str">
        <f>""</f>
        <v/>
      </c>
      <c r="M929" t="str">
        <f>""</f>
        <v/>
      </c>
      <c r="N929" t="str">
        <f>""</f>
        <v/>
      </c>
      <c r="O929" t="s">
        <v>3318</v>
      </c>
      <c r="P929" t="s">
        <v>3319</v>
      </c>
      <c r="R929" t="s">
        <v>3320</v>
      </c>
      <c r="S929" t="s">
        <v>36</v>
      </c>
      <c r="T929" t="str">
        <f>"85035"</f>
        <v>85035</v>
      </c>
      <c r="U929" t="str">
        <f>""</f>
        <v/>
      </c>
      <c r="V929" t="s">
        <v>3319</v>
      </c>
      <c r="X929" t="s">
        <v>3320</v>
      </c>
      <c r="Y929" t="s">
        <v>36</v>
      </c>
      <c r="Z929" t="str">
        <f>"85035"</f>
        <v>85035</v>
      </c>
      <c r="AA929" t="str">
        <f>""</f>
        <v/>
      </c>
      <c r="AB929" t="s">
        <v>516</v>
      </c>
    </row>
    <row r="930" spans="1:28" x14ac:dyDescent="0.25">
      <c r="A930">
        <v>4282</v>
      </c>
      <c r="B930" t="str">
        <f t="shared" si="154"/>
        <v>070483000</v>
      </c>
      <c r="C930" t="s">
        <v>3248</v>
      </c>
      <c r="D930">
        <v>5415</v>
      </c>
      <c r="E930" t="str">
        <f>"070483118"</f>
        <v>070483118</v>
      </c>
      <c r="F930" t="s">
        <v>3321</v>
      </c>
      <c r="G930" t="s">
        <v>42</v>
      </c>
      <c r="H930" t="s">
        <v>794</v>
      </c>
      <c r="I930" t="s">
        <v>2435</v>
      </c>
      <c r="J930" t="s">
        <v>926</v>
      </c>
      <c r="K930" t="str">
        <f>"6236915830"</f>
        <v>6236915830</v>
      </c>
      <c r="L930" t="str">
        <f>""</f>
        <v/>
      </c>
      <c r="M930" t="str">
        <f>""</f>
        <v/>
      </c>
      <c r="N930" t="str">
        <f>""</f>
        <v/>
      </c>
      <c r="O930" t="s">
        <v>3322</v>
      </c>
      <c r="P930" t="s">
        <v>3323</v>
      </c>
      <c r="R930" t="s">
        <v>964</v>
      </c>
      <c r="S930" t="s">
        <v>36</v>
      </c>
      <c r="T930" t="str">
        <f>"85033"</f>
        <v>85033</v>
      </c>
      <c r="U930" t="str">
        <f>""</f>
        <v/>
      </c>
      <c r="V930" t="s">
        <v>3323</v>
      </c>
      <c r="X930" t="s">
        <v>964</v>
      </c>
      <c r="Y930" t="s">
        <v>36</v>
      </c>
      <c r="Z930" t="str">
        <f>"85033"</f>
        <v>85033</v>
      </c>
      <c r="AA930" t="str">
        <f>""</f>
        <v/>
      </c>
      <c r="AB930" t="s">
        <v>516</v>
      </c>
    </row>
    <row r="931" spans="1:28" x14ac:dyDescent="0.25">
      <c r="A931">
        <v>4282</v>
      </c>
      <c r="B931" t="str">
        <f t="shared" si="154"/>
        <v>070483000</v>
      </c>
      <c r="C931" t="s">
        <v>3248</v>
      </c>
      <c r="D931">
        <v>6032</v>
      </c>
      <c r="E931" t="str">
        <f>"070483120"</f>
        <v>070483120</v>
      </c>
      <c r="F931" t="s">
        <v>3324</v>
      </c>
      <c r="G931" t="s">
        <v>42</v>
      </c>
      <c r="H931" t="s">
        <v>398</v>
      </c>
      <c r="I931" t="s">
        <v>3325</v>
      </c>
      <c r="J931" t="s">
        <v>926</v>
      </c>
      <c r="K931" t="str">
        <f>"6236911530"</f>
        <v>6236911530</v>
      </c>
      <c r="L931" t="str">
        <f>""</f>
        <v/>
      </c>
      <c r="M931" t="str">
        <f>""</f>
        <v/>
      </c>
      <c r="N931" t="str">
        <f>""</f>
        <v/>
      </c>
      <c r="O931" t="s">
        <v>3326</v>
      </c>
      <c r="P931" t="s">
        <v>3327</v>
      </c>
      <c r="R931" t="s">
        <v>964</v>
      </c>
      <c r="S931" t="s">
        <v>36</v>
      </c>
      <c r="T931" t="str">
        <f>"85033"</f>
        <v>85033</v>
      </c>
      <c r="U931" t="str">
        <f>""</f>
        <v/>
      </c>
      <c r="V931" t="s">
        <v>3327</v>
      </c>
      <c r="X931" t="s">
        <v>964</v>
      </c>
      <c r="Y931" t="s">
        <v>36</v>
      </c>
      <c r="Z931" t="str">
        <f>"85033"</f>
        <v>85033</v>
      </c>
      <c r="AA931" t="str">
        <f>""</f>
        <v/>
      </c>
      <c r="AB931" t="s">
        <v>516</v>
      </c>
    </row>
    <row r="932" spans="1:28" x14ac:dyDescent="0.25">
      <c r="A932">
        <v>4282</v>
      </c>
      <c r="B932" t="str">
        <f t="shared" si="154"/>
        <v>070483000</v>
      </c>
      <c r="C932" t="s">
        <v>3248</v>
      </c>
      <c r="D932">
        <v>78980</v>
      </c>
      <c r="E932" t="str">
        <f>"070483121"</f>
        <v>070483121</v>
      </c>
      <c r="F932" t="s">
        <v>3328</v>
      </c>
      <c r="G932" t="s">
        <v>42</v>
      </c>
      <c r="H932" t="s">
        <v>3329</v>
      </c>
      <c r="I932" t="s">
        <v>2435</v>
      </c>
      <c r="J932" t="s">
        <v>926</v>
      </c>
      <c r="K932" t="str">
        <f>"6236911730"</f>
        <v>6236911730</v>
      </c>
      <c r="L932" t="str">
        <f>""</f>
        <v/>
      </c>
      <c r="M932" t="str">
        <f>""</f>
        <v/>
      </c>
      <c r="N932" t="str">
        <f>""</f>
        <v/>
      </c>
      <c r="O932" t="s">
        <v>3330</v>
      </c>
      <c r="P932" t="s">
        <v>3331</v>
      </c>
      <c r="R932" t="s">
        <v>964</v>
      </c>
      <c r="S932" t="s">
        <v>36</v>
      </c>
      <c r="T932" t="str">
        <f>"85031"</f>
        <v>85031</v>
      </c>
      <c r="U932" t="str">
        <f>""</f>
        <v/>
      </c>
      <c r="V932" t="s">
        <v>3331</v>
      </c>
      <c r="X932" t="s">
        <v>964</v>
      </c>
      <c r="Y932" t="s">
        <v>36</v>
      </c>
      <c r="Z932" t="str">
        <f>"85031"</f>
        <v>85031</v>
      </c>
      <c r="AA932" t="str">
        <f>""</f>
        <v/>
      </c>
      <c r="AB932" t="s">
        <v>516</v>
      </c>
    </row>
    <row r="933" spans="1:28" x14ac:dyDescent="0.25">
      <c r="A933">
        <v>4282</v>
      </c>
      <c r="B933" t="str">
        <f t="shared" si="154"/>
        <v>070483000</v>
      </c>
      <c r="C933" t="s">
        <v>3248</v>
      </c>
      <c r="D933">
        <v>79283</v>
      </c>
      <c r="E933" t="str">
        <f>"070483122"</f>
        <v>070483122</v>
      </c>
      <c r="F933" t="s">
        <v>3332</v>
      </c>
      <c r="G933" t="s">
        <v>42</v>
      </c>
      <c r="H933" t="s">
        <v>3333</v>
      </c>
      <c r="I933" t="s">
        <v>2435</v>
      </c>
      <c r="J933" t="s">
        <v>1652</v>
      </c>
      <c r="K933" t="str">
        <f>"6236911730"</f>
        <v>6236911730</v>
      </c>
      <c r="L933" t="str">
        <f>""</f>
        <v/>
      </c>
      <c r="M933" t="str">
        <f>""</f>
        <v/>
      </c>
      <c r="N933" t="str">
        <f>""</f>
        <v/>
      </c>
      <c r="O933" t="s">
        <v>3334</v>
      </c>
      <c r="P933" t="s">
        <v>3335</v>
      </c>
      <c r="R933" t="s">
        <v>964</v>
      </c>
      <c r="S933" t="s">
        <v>36</v>
      </c>
      <c r="T933" t="str">
        <f>"85031"</f>
        <v>85031</v>
      </c>
      <c r="U933" t="str">
        <f>""</f>
        <v/>
      </c>
      <c r="V933" t="s">
        <v>3335</v>
      </c>
      <c r="X933" t="s">
        <v>964</v>
      </c>
      <c r="Y933" t="s">
        <v>36</v>
      </c>
      <c r="Z933" t="str">
        <f>"85031"</f>
        <v>85031</v>
      </c>
      <c r="AA933" t="str">
        <f>""</f>
        <v/>
      </c>
      <c r="AB933" t="s">
        <v>516</v>
      </c>
    </row>
    <row r="934" spans="1:28" x14ac:dyDescent="0.25">
      <c r="A934">
        <v>4282</v>
      </c>
      <c r="B934" t="str">
        <f t="shared" si="154"/>
        <v>070483000</v>
      </c>
      <c r="C934" t="s">
        <v>3248</v>
      </c>
      <c r="D934">
        <v>80352</v>
      </c>
      <c r="E934" t="str">
        <f>"079083593"</f>
        <v>079083593</v>
      </c>
      <c r="F934" t="s">
        <v>3336</v>
      </c>
      <c r="G934" t="s">
        <v>42</v>
      </c>
      <c r="H934" t="s">
        <v>857</v>
      </c>
      <c r="I934" t="s">
        <v>3337</v>
      </c>
      <c r="J934" t="s">
        <v>2162</v>
      </c>
      <c r="K934" t="str">
        <f>"6236914040"</f>
        <v>6236914040</v>
      </c>
      <c r="L934" t="str">
        <f>""</f>
        <v/>
      </c>
      <c r="M934" t="str">
        <f>""</f>
        <v/>
      </c>
      <c r="N934" t="str">
        <f>""</f>
        <v/>
      </c>
      <c r="O934" t="s">
        <v>3338</v>
      </c>
      <c r="P934" t="s">
        <v>3339</v>
      </c>
      <c r="R934" t="s">
        <v>964</v>
      </c>
      <c r="S934" t="s">
        <v>36</v>
      </c>
      <c r="T934" t="str">
        <f>"85031"</f>
        <v>85031</v>
      </c>
      <c r="U934" t="str">
        <f>""</f>
        <v/>
      </c>
      <c r="V934" t="s">
        <v>3339</v>
      </c>
      <c r="X934" t="s">
        <v>964</v>
      </c>
      <c r="Y934" t="s">
        <v>36</v>
      </c>
      <c r="Z934" t="str">
        <f>"85031"</f>
        <v>85031</v>
      </c>
      <c r="AA934" t="str">
        <f>""</f>
        <v/>
      </c>
      <c r="AB934" t="s">
        <v>516</v>
      </c>
    </row>
    <row r="935" spans="1:28" x14ac:dyDescent="0.25">
      <c r="A935">
        <v>4282</v>
      </c>
      <c r="B935" t="str">
        <f t="shared" si="154"/>
        <v>070483000</v>
      </c>
      <c r="C935" t="s">
        <v>3248</v>
      </c>
      <c r="D935">
        <v>81109</v>
      </c>
      <c r="E935" t="str">
        <f>"070483123"</f>
        <v>070483123</v>
      </c>
      <c r="F935" t="s">
        <v>3340</v>
      </c>
      <c r="G935" t="s">
        <v>42</v>
      </c>
      <c r="H935" t="s">
        <v>3341</v>
      </c>
      <c r="I935" t="s">
        <v>3342</v>
      </c>
      <c r="J935" t="s">
        <v>3343</v>
      </c>
      <c r="K935" t="str">
        <f>"6236913130"</f>
        <v>6236913130</v>
      </c>
      <c r="L935" t="str">
        <f>""</f>
        <v/>
      </c>
      <c r="M935" t="str">
        <f>""</f>
        <v/>
      </c>
      <c r="N935" t="str">
        <f>""</f>
        <v/>
      </c>
      <c r="O935" t="s">
        <v>3344</v>
      </c>
      <c r="P935" t="s">
        <v>3345</v>
      </c>
      <c r="R935" t="s">
        <v>964</v>
      </c>
      <c r="S935" t="s">
        <v>36</v>
      </c>
      <c r="T935" t="str">
        <f>"85035"</f>
        <v>85035</v>
      </c>
      <c r="U935" t="str">
        <f>""</f>
        <v/>
      </c>
      <c r="V935" t="s">
        <v>3345</v>
      </c>
      <c r="X935" t="s">
        <v>964</v>
      </c>
      <c r="Y935" t="s">
        <v>36</v>
      </c>
      <c r="Z935" t="str">
        <f>"85035"</f>
        <v>85035</v>
      </c>
      <c r="AA935" t="str">
        <f>""</f>
        <v/>
      </c>
      <c r="AB935" t="s">
        <v>516</v>
      </c>
    </row>
    <row r="936" spans="1:28" x14ac:dyDescent="0.25">
      <c r="A936">
        <v>4282</v>
      </c>
      <c r="B936" t="str">
        <f t="shared" si="154"/>
        <v>070483000</v>
      </c>
      <c r="C936" t="s">
        <v>3248</v>
      </c>
      <c r="D936">
        <v>89955</v>
      </c>
      <c r="E936" t="str">
        <f>"070483129"</f>
        <v>070483129</v>
      </c>
      <c r="F936" t="s">
        <v>3346</v>
      </c>
      <c r="G936" t="s">
        <v>42</v>
      </c>
      <c r="H936" t="s">
        <v>2664</v>
      </c>
      <c r="I936" t="s">
        <v>3040</v>
      </c>
      <c r="J936" t="s">
        <v>3347</v>
      </c>
      <c r="K936" t="str">
        <f>"6236914040"</f>
        <v>6236914040</v>
      </c>
      <c r="L936" t="str">
        <f>""</f>
        <v/>
      </c>
      <c r="M936" t="str">
        <f>"6236915925"</f>
        <v>6236915925</v>
      </c>
      <c r="N936" t="str">
        <f>""</f>
        <v/>
      </c>
      <c r="O936" t="s">
        <v>3348</v>
      </c>
      <c r="P936" t="s">
        <v>3349</v>
      </c>
      <c r="R936" t="s">
        <v>964</v>
      </c>
      <c r="S936" t="s">
        <v>36</v>
      </c>
      <c r="T936" t="str">
        <f>"85035"</f>
        <v>85035</v>
      </c>
      <c r="U936" t="str">
        <f>""</f>
        <v/>
      </c>
      <c r="V936" t="s">
        <v>3349</v>
      </c>
      <c r="X936" t="s">
        <v>964</v>
      </c>
      <c r="Y936" t="s">
        <v>36</v>
      </c>
      <c r="Z936" t="str">
        <f>"85035"</f>
        <v>85035</v>
      </c>
      <c r="AA936" t="str">
        <f>""</f>
        <v/>
      </c>
      <c r="AB936" t="s">
        <v>516</v>
      </c>
    </row>
    <row r="937" spans="1:28" x14ac:dyDescent="0.25">
      <c r="A937">
        <v>4282</v>
      </c>
      <c r="B937" t="str">
        <f t="shared" si="154"/>
        <v>070483000</v>
      </c>
      <c r="C937" t="s">
        <v>3248</v>
      </c>
      <c r="D937">
        <v>90141</v>
      </c>
      <c r="E937" t="str">
        <f>"078550001"</f>
        <v>078550001</v>
      </c>
      <c r="F937" t="s">
        <v>3350</v>
      </c>
      <c r="G937" t="s">
        <v>42</v>
      </c>
      <c r="H937" t="s">
        <v>260</v>
      </c>
      <c r="I937" t="s">
        <v>3351</v>
      </c>
      <c r="J937" t="s">
        <v>1288</v>
      </c>
      <c r="K937" t="str">
        <f>"6232479052"</f>
        <v>6232479052</v>
      </c>
      <c r="L937" t="str">
        <f>"2004"</f>
        <v>2004</v>
      </c>
      <c r="M937" t="str">
        <f>""</f>
        <v/>
      </c>
      <c r="N937" t="str">
        <f>""</f>
        <v/>
      </c>
      <c r="O937" t="s">
        <v>3352</v>
      </c>
      <c r="P937" t="s">
        <v>3251</v>
      </c>
      <c r="R937" t="s">
        <v>3353</v>
      </c>
      <c r="S937" t="s">
        <v>36</v>
      </c>
      <c r="T937" t="str">
        <f>"85031"</f>
        <v>85031</v>
      </c>
      <c r="U937" t="str">
        <f>""</f>
        <v/>
      </c>
      <c r="V937" t="s">
        <v>3354</v>
      </c>
      <c r="X937" t="s">
        <v>964</v>
      </c>
      <c r="Y937" t="s">
        <v>36</v>
      </c>
      <c r="Z937" t="str">
        <f>"85033"</f>
        <v>85033</v>
      </c>
      <c r="AA937" t="str">
        <f>""</f>
        <v/>
      </c>
      <c r="AB937" t="s">
        <v>516</v>
      </c>
    </row>
    <row r="938" spans="1:28" x14ac:dyDescent="0.25">
      <c r="A938">
        <v>4282</v>
      </c>
      <c r="B938" t="str">
        <f t="shared" si="154"/>
        <v>070483000</v>
      </c>
      <c r="C938" t="s">
        <v>3248</v>
      </c>
      <c r="D938">
        <v>91270</v>
      </c>
      <c r="E938" t="str">
        <f>"072146005"</f>
        <v>072146005</v>
      </c>
      <c r="F938" t="s">
        <v>3355</v>
      </c>
      <c r="G938" t="s">
        <v>42</v>
      </c>
      <c r="H938" t="s">
        <v>1808</v>
      </c>
      <c r="I938" t="s">
        <v>2435</v>
      </c>
      <c r="J938" t="s">
        <v>926</v>
      </c>
      <c r="K938" t="str">
        <f>"6236914040"</f>
        <v>6236914040</v>
      </c>
      <c r="L938" t="str">
        <f>""</f>
        <v/>
      </c>
      <c r="M938" t="str">
        <f>""</f>
        <v/>
      </c>
      <c r="N938" t="str">
        <f>""</f>
        <v/>
      </c>
      <c r="O938" t="s">
        <v>3356</v>
      </c>
      <c r="P938" t="s">
        <v>3357</v>
      </c>
      <c r="R938" t="s">
        <v>964</v>
      </c>
      <c r="S938" t="s">
        <v>36</v>
      </c>
      <c r="T938" t="str">
        <f>"85031"</f>
        <v>85031</v>
      </c>
      <c r="U938" t="str">
        <f>""</f>
        <v/>
      </c>
      <c r="V938" t="s">
        <v>3357</v>
      </c>
      <c r="X938" t="s">
        <v>964</v>
      </c>
      <c r="Y938" t="s">
        <v>36</v>
      </c>
      <c r="Z938" t="str">
        <f>"85031"</f>
        <v>85031</v>
      </c>
      <c r="AA938" t="str">
        <f>""</f>
        <v/>
      </c>
      <c r="AB938" t="s">
        <v>516</v>
      </c>
    </row>
    <row r="939" spans="1:28" x14ac:dyDescent="0.25">
      <c r="A939">
        <v>4283</v>
      </c>
      <c r="B939" t="str">
        <f t="shared" ref="B939:B951" si="155">"070492000"</f>
        <v>070492000</v>
      </c>
      <c r="C939" t="s">
        <v>3358</v>
      </c>
      <c r="D939">
        <v>0</v>
      </c>
      <c r="E939" t="str">
        <f>""</f>
        <v/>
      </c>
      <c r="G939" t="s">
        <v>29</v>
      </c>
      <c r="H939" t="s">
        <v>3359</v>
      </c>
      <c r="I939" t="s">
        <v>3360</v>
      </c>
      <c r="J939" t="s">
        <v>3361</v>
      </c>
      <c r="K939" t="str">
        <f>"6237722209"</f>
        <v>6237722209</v>
      </c>
      <c r="L939" t="str">
        <f>""</f>
        <v/>
      </c>
      <c r="M939" t="str">
        <f>"6238771028"</f>
        <v>6238771028</v>
      </c>
      <c r="N939" t="str">
        <f>""</f>
        <v/>
      </c>
      <c r="O939" t="s">
        <v>3362</v>
      </c>
      <c r="P939" t="s">
        <v>3363</v>
      </c>
      <c r="R939" t="s">
        <v>964</v>
      </c>
      <c r="S939" t="s">
        <v>36</v>
      </c>
      <c r="T939" t="str">
        <f>"85037"</f>
        <v>85037</v>
      </c>
      <c r="U939" t="str">
        <f>""</f>
        <v/>
      </c>
      <c r="V939" t="s">
        <v>3363</v>
      </c>
      <c r="X939" t="s">
        <v>964</v>
      </c>
      <c r="Y939" t="s">
        <v>36</v>
      </c>
      <c r="Z939" t="str">
        <f>"85037"</f>
        <v>85037</v>
      </c>
      <c r="AA939" t="str">
        <f>""</f>
        <v/>
      </c>
      <c r="AB939" t="s">
        <v>516</v>
      </c>
    </row>
    <row r="940" spans="1:28" x14ac:dyDescent="0.25">
      <c r="A940">
        <v>4283</v>
      </c>
      <c r="B940" t="str">
        <f t="shared" si="155"/>
        <v>070492000</v>
      </c>
      <c r="C940" t="s">
        <v>3358</v>
      </c>
      <c r="D940">
        <v>5417</v>
      </c>
      <c r="E940" t="str">
        <f>"070492012"</f>
        <v>070492012</v>
      </c>
      <c r="F940" t="s">
        <v>3364</v>
      </c>
      <c r="G940" t="s">
        <v>42</v>
      </c>
      <c r="H940" t="s">
        <v>1681</v>
      </c>
      <c r="I940" t="s">
        <v>2579</v>
      </c>
      <c r="J940" t="s">
        <v>926</v>
      </c>
      <c r="K940" t="str">
        <f>"6237722421"</f>
        <v>6237722421</v>
      </c>
      <c r="L940" t="str">
        <f>""</f>
        <v/>
      </c>
      <c r="M940" t="str">
        <f>"6238779591"</f>
        <v>6238779591</v>
      </c>
      <c r="N940" t="str">
        <f>""</f>
        <v/>
      </c>
      <c r="O940" t="s">
        <v>3365</v>
      </c>
      <c r="P940" t="s">
        <v>3366</v>
      </c>
      <c r="R940" t="s">
        <v>964</v>
      </c>
      <c r="S940" t="s">
        <v>36</v>
      </c>
      <c r="T940" t="str">
        <f>"85037"</f>
        <v>85037</v>
      </c>
      <c r="U940" t="str">
        <f>""</f>
        <v/>
      </c>
      <c r="V940" t="s">
        <v>3366</v>
      </c>
      <c r="X940" t="s">
        <v>964</v>
      </c>
      <c r="Y940" t="s">
        <v>36</v>
      </c>
      <c r="Z940" t="str">
        <f>"85037"</f>
        <v>85037</v>
      </c>
      <c r="AA940" t="str">
        <f>""</f>
        <v/>
      </c>
      <c r="AB940" t="s">
        <v>516</v>
      </c>
    </row>
    <row r="941" spans="1:28" x14ac:dyDescent="0.25">
      <c r="A941">
        <v>4283</v>
      </c>
      <c r="B941" t="str">
        <f t="shared" si="155"/>
        <v>070492000</v>
      </c>
      <c r="C941" t="s">
        <v>3358</v>
      </c>
      <c r="D941">
        <v>5418</v>
      </c>
      <c r="E941" t="str">
        <f>"070492013"</f>
        <v>070492013</v>
      </c>
      <c r="F941" t="s">
        <v>3367</v>
      </c>
      <c r="G941" t="s">
        <v>42</v>
      </c>
      <c r="H941" t="s">
        <v>1160</v>
      </c>
      <c r="I941" t="s">
        <v>3040</v>
      </c>
      <c r="J941" t="s">
        <v>3368</v>
      </c>
      <c r="K941" t="str">
        <f>"6237722451"</f>
        <v>6237722451</v>
      </c>
      <c r="L941" t="str">
        <f>""</f>
        <v/>
      </c>
      <c r="M941" t="str">
        <f>"6238734691"</f>
        <v>6238734691</v>
      </c>
      <c r="N941" t="str">
        <f>""</f>
        <v/>
      </c>
      <c r="O941" t="s">
        <v>3369</v>
      </c>
      <c r="P941" t="s">
        <v>3370</v>
      </c>
      <c r="R941" t="s">
        <v>964</v>
      </c>
      <c r="S941" t="s">
        <v>36</v>
      </c>
      <c r="T941" t="str">
        <f>"85037"</f>
        <v>85037</v>
      </c>
      <c r="U941" t="str">
        <f>""</f>
        <v/>
      </c>
      <c r="V941" t="s">
        <v>3370</v>
      </c>
      <c r="X941" t="s">
        <v>964</v>
      </c>
      <c r="Y941" t="s">
        <v>36</v>
      </c>
      <c r="Z941" t="str">
        <f>"85037"</f>
        <v>85037</v>
      </c>
      <c r="AA941" t="str">
        <f>""</f>
        <v/>
      </c>
      <c r="AB941" t="s">
        <v>516</v>
      </c>
    </row>
    <row r="942" spans="1:28" x14ac:dyDescent="0.25">
      <c r="A942">
        <v>4283</v>
      </c>
      <c r="B942" t="str">
        <f t="shared" si="155"/>
        <v>070492000</v>
      </c>
      <c r="C942" t="s">
        <v>3358</v>
      </c>
      <c r="D942">
        <v>5420</v>
      </c>
      <c r="E942" t="str">
        <f>"070492015"</f>
        <v>070492015</v>
      </c>
      <c r="F942" t="s">
        <v>3371</v>
      </c>
      <c r="G942" t="s">
        <v>42</v>
      </c>
      <c r="H942" t="s">
        <v>3372</v>
      </c>
      <c r="I942" t="s">
        <v>2757</v>
      </c>
      <c r="J942" t="s">
        <v>315</v>
      </c>
      <c r="K942" t="str">
        <f>"6237722503"</f>
        <v>6237722503</v>
      </c>
      <c r="L942" t="str">
        <f>""</f>
        <v/>
      </c>
      <c r="M942" t="str">
        <f>"6238778977"</f>
        <v>6238778977</v>
      </c>
      <c r="N942" t="str">
        <f>""</f>
        <v/>
      </c>
      <c r="O942" t="s">
        <v>3373</v>
      </c>
      <c r="P942" t="s">
        <v>3374</v>
      </c>
      <c r="R942" t="s">
        <v>964</v>
      </c>
      <c r="S942" t="s">
        <v>36</v>
      </c>
      <c r="T942" t="str">
        <f>"85037"</f>
        <v>85037</v>
      </c>
      <c r="U942" t="str">
        <f>""</f>
        <v/>
      </c>
      <c r="V942" t="s">
        <v>3374</v>
      </c>
      <c r="X942" t="s">
        <v>964</v>
      </c>
      <c r="Y942" t="s">
        <v>36</v>
      </c>
      <c r="Z942" t="str">
        <f>"85037"</f>
        <v>85037</v>
      </c>
      <c r="AA942" t="str">
        <f>""</f>
        <v/>
      </c>
      <c r="AB942" t="s">
        <v>516</v>
      </c>
    </row>
    <row r="943" spans="1:28" x14ac:dyDescent="0.25">
      <c r="A943">
        <v>4283</v>
      </c>
      <c r="B943" t="str">
        <f t="shared" si="155"/>
        <v>070492000</v>
      </c>
      <c r="C943" t="s">
        <v>3358</v>
      </c>
      <c r="D943">
        <v>5421</v>
      </c>
      <c r="E943" t="str">
        <f>"070492016"</f>
        <v>070492016</v>
      </c>
      <c r="F943" t="s">
        <v>3375</v>
      </c>
      <c r="G943" t="s">
        <v>42</v>
      </c>
      <c r="H943" t="s">
        <v>398</v>
      </c>
      <c r="I943" t="s">
        <v>3376</v>
      </c>
      <c r="J943" t="s">
        <v>315</v>
      </c>
      <c r="K943" t="str">
        <f>"6237722542"</f>
        <v>6237722542</v>
      </c>
      <c r="L943" t="str">
        <f>""</f>
        <v/>
      </c>
      <c r="M943" t="str">
        <f>"6238779545"</f>
        <v>6238779545</v>
      </c>
      <c r="N943" t="str">
        <f>""</f>
        <v/>
      </c>
      <c r="O943" t="s">
        <v>3377</v>
      </c>
      <c r="P943" t="s">
        <v>3378</v>
      </c>
      <c r="R943" t="s">
        <v>2893</v>
      </c>
      <c r="S943" t="s">
        <v>36</v>
      </c>
      <c r="T943" t="str">
        <f>"85323"</f>
        <v>85323</v>
      </c>
      <c r="U943" t="str">
        <f>""</f>
        <v/>
      </c>
      <c r="V943" t="s">
        <v>3378</v>
      </c>
      <c r="X943" t="s">
        <v>2893</v>
      </c>
      <c r="Y943" t="s">
        <v>36</v>
      </c>
      <c r="Z943" t="str">
        <f>"85323"</f>
        <v>85323</v>
      </c>
      <c r="AA943" t="str">
        <f>""</f>
        <v/>
      </c>
      <c r="AB943" t="s">
        <v>516</v>
      </c>
    </row>
    <row r="944" spans="1:28" x14ac:dyDescent="0.25">
      <c r="A944">
        <v>4283</v>
      </c>
      <c r="B944" t="str">
        <f t="shared" si="155"/>
        <v>070492000</v>
      </c>
      <c r="C944" t="s">
        <v>3358</v>
      </c>
      <c r="D944">
        <v>5422</v>
      </c>
      <c r="E944" t="str">
        <f>"070492017"</f>
        <v>070492017</v>
      </c>
      <c r="F944" t="s">
        <v>3379</v>
      </c>
      <c r="G944" t="s">
        <v>42</v>
      </c>
      <c r="H944" t="s">
        <v>467</v>
      </c>
      <c r="I944" t="s">
        <v>3040</v>
      </c>
      <c r="J944" t="s">
        <v>315</v>
      </c>
      <c r="K944" t="str">
        <f>"6237722571"</f>
        <v>6237722571</v>
      </c>
      <c r="L944" t="str">
        <f>""</f>
        <v/>
      </c>
      <c r="M944" t="str">
        <f>"6238728401"</f>
        <v>6238728401</v>
      </c>
      <c r="N944" t="str">
        <f>""</f>
        <v/>
      </c>
      <c r="O944" t="s">
        <v>3380</v>
      </c>
      <c r="P944" t="s">
        <v>3381</v>
      </c>
      <c r="R944" t="s">
        <v>1173</v>
      </c>
      <c r="S944" t="s">
        <v>36</v>
      </c>
      <c r="T944" t="str">
        <f>"85305"</f>
        <v>85305</v>
      </c>
      <c r="U944" t="str">
        <f>""</f>
        <v/>
      </c>
      <c r="V944" t="s">
        <v>3381</v>
      </c>
      <c r="X944" t="s">
        <v>1173</v>
      </c>
      <c r="Y944" t="s">
        <v>36</v>
      </c>
      <c r="Z944" t="str">
        <f>"85305"</f>
        <v>85305</v>
      </c>
      <c r="AA944" t="str">
        <f>""</f>
        <v/>
      </c>
      <c r="AB944" t="s">
        <v>516</v>
      </c>
    </row>
    <row r="945" spans="1:28" x14ac:dyDescent="0.25">
      <c r="A945">
        <v>4283</v>
      </c>
      <c r="B945" t="str">
        <f t="shared" si="155"/>
        <v>070492000</v>
      </c>
      <c r="C945" t="s">
        <v>3358</v>
      </c>
      <c r="D945">
        <v>5423</v>
      </c>
      <c r="E945" t="str">
        <f>"070492018"</f>
        <v>070492018</v>
      </c>
      <c r="F945" t="s">
        <v>3382</v>
      </c>
      <c r="G945" t="s">
        <v>42</v>
      </c>
      <c r="H945" t="s">
        <v>1614</v>
      </c>
      <c r="I945" t="s">
        <v>3383</v>
      </c>
      <c r="J945" t="s">
        <v>315</v>
      </c>
      <c r="K945" t="str">
        <f>"6237722601"</f>
        <v>6237722601</v>
      </c>
      <c r="L945" t="str">
        <f>""</f>
        <v/>
      </c>
      <c r="M945" t="str">
        <f>"6238727769"</f>
        <v>6238727769</v>
      </c>
      <c r="N945" t="str">
        <f>""</f>
        <v/>
      </c>
      <c r="O945" t="s">
        <v>3384</v>
      </c>
      <c r="P945" t="s">
        <v>3385</v>
      </c>
      <c r="R945" t="s">
        <v>964</v>
      </c>
      <c r="S945" t="s">
        <v>36</v>
      </c>
      <c r="T945" t="str">
        <f>"85037"</f>
        <v>85037</v>
      </c>
      <c r="U945" t="str">
        <f>""</f>
        <v/>
      </c>
      <c r="V945" t="s">
        <v>3385</v>
      </c>
      <c r="X945" t="s">
        <v>964</v>
      </c>
      <c r="Y945" t="s">
        <v>36</v>
      </c>
      <c r="Z945" t="str">
        <f>"85037"</f>
        <v>85037</v>
      </c>
      <c r="AA945" t="str">
        <f>""</f>
        <v/>
      </c>
      <c r="AB945" t="s">
        <v>516</v>
      </c>
    </row>
    <row r="946" spans="1:28" x14ac:dyDescent="0.25">
      <c r="A946">
        <v>4283</v>
      </c>
      <c r="B946" t="str">
        <f t="shared" si="155"/>
        <v>070492000</v>
      </c>
      <c r="C946" t="s">
        <v>3358</v>
      </c>
      <c r="D946">
        <v>79265</v>
      </c>
      <c r="E946" t="str">
        <f>"070492019"</f>
        <v>070492019</v>
      </c>
      <c r="F946" t="s">
        <v>3386</v>
      </c>
      <c r="G946" t="s">
        <v>42</v>
      </c>
      <c r="H946" t="s">
        <v>3387</v>
      </c>
      <c r="I946" t="s">
        <v>3388</v>
      </c>
      <c r="J946" t="s">
        <v>315</v>
      </c>
      <c r="K946" t="str">
        <f>"6237722630"</f>
        <v>6237722630</v>
      </c>
      <c r="L946" t="str">
        <f>""</f>
        <v/>
      </c>
      <c r="M946" t="str">
        <f>"6234789912"</f>
        <v>6234789912</v>
      </c>
      <c r="N946" t="str">
        <f>""</f>
        <v/>
      </c>
      <c r="O946" t="s">
        <v>3389</v>
      </c>
      <c r="P946" t="s">
        <v>3390</v>
      </c>
      <c r="R946" t="s">
        <v>2893</v>
      </c>
      <c r="S946" t="s">
        <v>36</v>
      </c>
      <c r="T946" t="str">
        <f>"85323"</f>
        <v>85323</v>
      </c>
      <c r="U946" t="str">
        <f>""</f>
        <v/>
      </c>
      <c r="V946" t="s">
        <v>3390</v>
      </c>
      <c r="X946" t="s">
        <v>2893</v>
      </c>
      <c r="Y946" t="s">
        <v>36</v>
      </c>
      <c r="Z946" t="str">
        <f>"85323"</f>
        <v>85323</v>
      </c>
      <c r="AA946" t="str">
        <f>""</f>
        <v/>
      </c>
      <c r="AB946" t="s">
        <v>516</v>
      </c>
    </row>
    <row r="947" spans="1:28" x14ac:dyDescent="0.25">
      <c r="A947">
        <v>4283</v>
      </c>
      <c r="B947" t="str">
        <f t="shared" si="155"/>
        <v>070492000</v>
      </c>
      <c r="C947" t="s">
        <v>3358</v>
      </c>
      <c r="D947">
        <v>79642</v>
      </c>
      <c r="E947" t="str">
        <f>"070492020"</f>
        <v>070492020</v>
      </c>
      <c r="F947" t="s">
        <v>1576</v>
      </c>
      <c r="G947" t="s">
        <v>42</v>
      </c>
      <c r="H947" t="s">
        <v>3391</v>
      </c>
      <c r="I947" t="s">
        <v>3392</v>
      </c>
      <c r="J947" t="s">
        <v>315</v>
      </c>
      <c r="K947" t="str">
        <f>"6237722660"</f>
        <v>6237722660</v>
      </c>
      <c r="L947" t="str">
        <f>""</f>
        <v/>
      </c>
      <c r="M947" t="str">
        <f>"6237721005"</f>
        <v>6237721005</v>
      </c>
      <c r="N947" t="str">
        <f>""</f>
        <v/>
      </c>
      <c r="O947" t="s">
        <v>3393</v>
      </c>
      <c r="P947" t="s">
        <v>3394</v>
      </c>
      <c r="R947" t="s">
        <v>1173</v>
      </c>
      <c r="S947" t="s">
        <v>36</v>
      </c>
      <c r="T947" t="str">
        <f>"85307"</f>
        <v>85307</v>
      </c>
      <c r="U947" t="str">
        <f>""</f>
        <v/>
      </c>
      <c r="V947" t="s">
        <v>3394</v>
      </c>
      <c r="X947" t="s">
        <v>1173</v>
      </c>
      <c r="Y947" t="s">
        <v>36</v>
      </c>
      <c r="Z947" t="str">
        <f>"85307"</f>
        <v>85307</v>
      </c>
      <c r="AA947" t="str">
        <f>""</f>
        <v/>
      </c>
      <c r="AB947" t="s">
        <v>516</v>
      </c>
    </row>
    <row r="948" spans="1:28" x14ac:dyDescent="0.25">
      <c r="A948">
        <v>4283</v>
      </c>
      <c r="B948" t="str">
        <f t="shared" si="155"/>
        <v>070492000</v>
      </c>
      <c r="C948" t="s">
        <v>3358</v>
      </c>
      <c r="D948">
        <v>79800</v>
      </c>
      <c r="E948" t="str">
        <f>"070492021"</f>
        <v>070492021</v>
      </c>
      <c r="F948" t="s">
        <v>3395</v>
      </c>
      <c r="G948" t="s">
        <v>42</v>
      </c>
      <c r="H948" t="s">
        <v>3396</v>
      </c>
      <c r="I948" t="s">
        <v>3397</v>
      </c>
      <c r="J948" t="s">
        <v>315</v>
      </c>
      <c r="K948" t="str">
        <f>"6237722675"</f>
        <v>6237722675</v>
      </c>
      <c r="L948" t="str">
        <f>""</f>
        <v/>
      </c>
      <c r="M948" t="str">
        <f>"6234781972"</f>
        <v>6234781972</v>
      </c>
      <c r="N948" t="str">
        <f>""</f>
        <v/>
      </c>
      <c r="O948" t="s">
        <v>3398</v>
      </c>
      <c r="P948" t="s">
        <v>3399</v>
      </c>
      <c r="R948" t="s">
        <v>2893</v>
      </c>
      <c r="S948" t="s">
        <v>36</v>
      </c>
      <c r="T948" t="str">
        <f>"85323"</f>
        <v>85323</v>
      </c>
      <c r="U948" t="str">
        <f>""</f>
        <v/>
      </c>
      <c r="V948" t="s">
        <v>3399</v>
      </c>
      <c r="X948" t="s">
        <v>2893</v>
      </c>
      <c r="Y948" t="s">
        <v>36</v>
      </c>
      <c r="Z948" t="str">
        <f>"85323"</f>
        <v>85323</v>
      </c>
      <c r="AA948" t="str">
        <f>""</f>
        <v/>
      </c>
      <c r="AB948" t="s">
        <v>516</v>
      </c>
    </row>
    <row r="949" spans="1:28" x14ac:dyDescent="0.25">
      <c r="A949">
        <v>4283</v>
      </c>
      <c r="B949" t="str">
        <f t="shared" si="155"/>
        <v>070492000</v>
      </c>
      <c r="C949" t="s">
        <v>3358</v>
      </c>
      <c r="D949">
        <v>80417</v>
      </c>
      <c r="E949" t="str">
        <f>"070492023"</f>
        <v>070492023</v>
      </c>
      <c r="F949" t="s">
        <v>3400</v>
      </c>
      <c r="G949" t="s">
        <v>42</v>
      </c>
      <c r="H949" t="s">
        <v>1404</v>
      </c>
      <c r="I949" t="s">
        <v>3401</v>
      </c>
      <c r="J949" t="s">
        <v>315</v>
      </c>
      <c r="K949" t="str">
        <f>"6237722721"</f>
        <v>6237722721</v>
      </c>
      <c r="L949" t="str">
        <f>""</f>
        <v/>
      </c>
      <c r="M949" t="str">
        <f>"6237728464"</f>
        <v>6237728464</v>
      </c>
      <c r="N949" t="str">
        <f>""</f>
        <v/>
      </c>
      <c r="O949" t="s">
        <v>3402</v>
      </c>
      <c r="P949" t="s">
        <v>3403</v>
      </c>
      <c r="R949" t="s">
        <v>964</v>
      </c>
      <c r="S949" t="s">
        <v>36</v>
      </c>
      <c r="T949" t="str">
        <f>"85037"</f>
        <v>85037</v>
      </c>
      <c r="U949" t="str">
        <f>""</f>
        <v/>
      </c>
      <c r="V949" t="s">
        <v>3403</v>
      </c>
      <c r="X949" t="s">
        <v>964</v>
      </c>
      <c r="Y949" t="s">
        <v>36</v>
      </c>
      <c r="Z949" t="str">
        <f>"85037"</f>
        <v>85037</v>
      </c>
      <c r="AA949" t="str">
        <f>""</f>
        <v/>
      </c>
      <c r="AB949" t="s">
        <v>516</v>
      </c>
    </row>
    <row r="950" spans="1:28" x14ac:dyDescent="0.25">
      <c r="A950">
        <v>4283</v>
      </c>
      <c r="B950" t="str">
        <f t="shared" si="155"/>
        <v>070492000</v>
      </c>
      <c r="C950" t="s">
        <v>3358</v>
      </c>
      <c r="D950">
        <v>80418</v>
      </c>
      <c r="E950" t="str">
        <f>"070492022"</f>
        <v>070492022</v>
      </c>
      <c r="F950" t="s">
        <v>3404</v>
      </c>
      <c r="G950" t="s">
        <v>42</v>
      </c>
      <c r="H950" t="s">
        <v>1160</v>
      </c>
      <c r="I950" t="s">
        <v>2896</v>
      </c>
      <c r="J950" t="s">
        <v>315</v>
      </c>
      <c r="K950" t="str">
        <f>"6237722270"</f>
        <v>6237722270</v>
      </c>
      <c r="L950" t="str">
        <f>""</f>
        <v/>
      </c>
      <c r="M950" t="str">
        <f>"6238775935"</f>
        <v>6238775935</v>
      </c>
      <c r="N950" t="str">
        <f>""</f>
        <v/>
      </c>
      <c r="O950" t="s">
        <v>3405</v>
      </c>
      <c r="P950" t="s">
        <v>3406</v>
      </c>
      <c r="R950" t="s">
        <v>1173</v>
      </c>
      <c r="S950" t="s">
        <v>36</v>
      </c>
      <c r="T950" t="str">
        <f>"85305"</f>
        <v>85305</v>
      </c>
      <c r="U950" t="str">
        <f>""</f>
        <v/>
      </c>
      <c r="V950" t="s">
        <v>3406</v>
      </c>
      <c r="X950" t="s">
        <v>1173</v>
      </c>
      <c r="Y950" t="s">
        <v>36</v>
      </c>
      <c r="Z950" t="str">
        <f>"85305"</f>
        <v>85305</v>
      </c>
      <c r="AA950" t="str">
        <f>""</f>
        <v/>
      </c>
      <c r="AB950" t="s">
        <v>516</v>
      </c>
    </row>
    <row r="951" spans="1:28" x14ac:dyDescent="0.25">
      <c r="A951">
        <v>4283</v>
      </c>
      <c r="B951" t="str">
        <f t="shared" si="155"/>
        <v>070492000</v>
      </c>
      <c r="C951" t="s">
        <v>3358</v>
      </c>
      <c r="D951">
        <v>80419</v>
      </c>
      <c r="E951" t="str">
        <f>"070492024"</f>
        <v>070492024</v>
      </c>
      <c r="F951" t="s">
        <v>3407</v>
      </c>
      <c r="G951" t="s">
        <v>42</v>
      </c>
      <c r="H951" t="s">
        <v>442</v>
      </c>
      <c r="I951" t="s">
        <v>3408</v>
      </c>
      <c r="J951" t="s">
        <v>315</v>
      </c>
      <c r="K951" t="str">
        <f>"6237722900"</f>
        <v>6237722900</v>
      </c>
      <c r="L951" t="str">
        <f>""</f>
        <v/>
      </c>
      <c r="M951" t="str">
        <f>"6238720281"</f>
        <v>6238720281</v>
      </c>
      <c r="N951" t="str">
        <f>""</f>
        <v/>
      </c>
      <c r="O951" t="s">
        <v>3409</v>
      </c>
      <c r="P951" t="s">
        <v>3410</v>
      </c>
      <c r="R951" t="s">
        <v>964</v>
      </c>
      <c r="S951" t="s">
        <v>36</v>
      </c>
      <c r="T951" t="str">
        <f>"85037"</f>
        <v>85037</v>
      </c>
      <c r="U951" t="str">
        <f>""</f>
        <v/>
      </c>
      <c r="V951" t="s">
        <v>3410</v>
      </c>
      <c r="X951" t="s">
        <v>964</v>
      </c>
      <c r="Y951" t="s">
        <v>36</v>
      </c>
      <c r="Z951" t="str">
        <f>"85037"</f>
        <v>85037</v>
      </c>
      <c r="AA951" t="str">
        <f>""</f>
        <v/>
      </c>
      <c r="AB951" t="s">
        <v>516</v>
      </c>
    </row>
    <row r="952" spans="1:28" x14ac:dyDescent="0.25">
      <c r="A952">
        <v>4284</v>
      </c>
      <c r="B952" t="str">
        <f>"070501000"</f>
        <v>070501000</v>
      </c>
      <c r="C952" t="s">
        <v>3411</v>
      </c>
      <c r="D952">
        <v>0</v>
      </c>
      <c r="E952" t="str">
        <f>""</f>
        <v/>
      </c>
      <c r="G952" t="s">
        <v>29</v>
      </c>
      <c r="H952" t="s">
        <v>3412</v>
      </c>
      <c r="I952" t="s">
        <v>3413</v>
      </c>
      <c r="J952" t="s">
        <v>3414</v>
      </c>
      <c r="K952" t="str">
        <f>"6233272295"</f>
        <v>6233272295</v>
      </c>
      <c r="L952" t="str">
        <f>""</f>
        <v/>
      </c>
      <c r="M952" t="str">
        <f>"6233869705"</f>
        <v>6233869705</v>
      </c>
      <c r="N952" t="str">
        <f>""</f>
        <v/>
      </c>
      <c r="O952" t="s">
        <v>3415</v>
      </c>
      <c r="P952" t="s">
        <v>3416</v>
      </c>
      <c r="R952" t="s">
        <v>1158</v>
      </c>
      <c r="S952" t="s">
        <v>36</v>
      </c>
      <c r="T952" t="str">
        <f>"85326"</f>
        <v>85326</v>
      </c>
      <c r="U952" t="str">
        <f>""</f>
        <v/>
      </c>
      <c r="V952" t="s">
        <v>3416</v>
      </c>
      <c r="X952" t="s">
        <v>1158</v>
      </c>
      <c r="Y952" t="s">
        <v>36</v>
      </c>
      <c r="Z952" t="str">
        <f>"85326"</f>
        <v>85326</v>
      </c>
      <c r="AA952" t="str">
        <f>""</f>
        <v/>
      </c>
      <c r="AB952" t="s">
        <v>56</v>
      </c>
    </row>
    <row r="953" spans="1:28" x14ac:dyDescent="0.25">
      <c r="A953">
        <v>4284</v>
      </c>
      <c r="B953" t="str">
        <f>"070501000"</f>
        <v>070501000</v>
      </c>
      <c r="C953" t="s">
        <v>3411</v>
      </c>
      <c r="D953">
        <v>5424</v>
      </c>
      <c r="E953" t="str">
        <f>"070501201"</f>
        <v>070501201</v>
      </c>
      <c r="F953" t="s">
        <v>3417</v>
      </c>
      <c r="G953" t="s">
        <v>42</v>
      </c>
      <c r="H953" t="s">
        <v>3418</v>
      </c>
      <c r="I953" t="s">
        <v>3419</v>
      </c>
      <c r="J953" t="s">
        <v>307</v>
      </c>
      <c r="K953" t="str">
        <f>"6233272284"</f>
        <v>6233272284</v>
      </c>
      <c r="L953" t="str">
        <f>""</f>
        <v/>
      </c>
      <c r="M953" t="str">
        <f>"6233869705"</f>
        <v>6233869705</v>
      </c>
      <c r="N953" t="str">
        <f>""</f>
        <v/>
      </c>
      <c r="O953" t="s">
        <v>3420</v>
      </c>
      <c r="P953" t="s">
        <v>3416</v>
      </c>
      <c r="R953" t="s">
        <v>1158</v>
      </c>
      <c r="S953" t="s">
        <v>36</v>
      </c>
      <c r="T953" t="str">
        <f>"85326"</f>
        <v>85326</v>
      </c>
      <c r="U953" t="str">
        <f>""</f>
        <v/>
      </c>
      <c r="V953" t="s">
        <v>3416</v>
      </c>
      <c r="X953" t="s">
        <v>1158</v>
      </c>
      <c r="Y953" t="s">
        <v>36</v>
      </c>
      <c r="Z953" t="str">
        <f>"85326"</f>
        <v>85326</v>
      </c>
      <c r="AA953" t="str">
        <f>""</f>
        <v/>
      </c>
      <c r="AB953" t="s">
        <v>56</v>
      </c>
    </row>
    <row r="954" spans="1:28" x14ac:dyDescent="0.25">
      <c r="A954">
        <v>4284</v>
      </c>
      <c r="B954" t="str">
        <f>"070501000"</f>
        <v>070501000</v>
      </c>
      <c r="C954" t="s">
        <v>3411</v>
      </c>
      <c r="D954">
        <v>79376</v>
      </c>
      <c r="E954" t="str">
        <f>"070501202"</f>
        <v>070501202</v>
      </c>
      <c r="F954" t="s">
        <v>3421</v>
      </c>
      <c r="G954" t="s">
        <v>42</v>
      </c>
      <c r="H954" t="s">
        <v>3418</v>
      </c>
      <c r="I954" t="s">
        <v>3419</v>
      </c>
      <c r="J954" t="s">
        <v>3422</v>
      </c>
      <c r="K954" t="str">
        <f>"6233272284"</f>
        <v>6233272284</v>
      </c>
      <c r="L954" t="str">
        <f>""</f>
        <v/>
      </c>
      <c r="M954" t="str">
        <f>"6233869705"</f>
        <v>6233869705</v>
      </c>
      <c r="N954" t="str">
        <f>""</f>
        <v/>
      </c>
      <c r="O954" t="s">
        <v>3420</v>
      </c>
      <c r="P954" t="s">
        <v>3416</v>
      </c>
      <c r="R954" t="s">
        <v>1158</v>
      </c>
      <c r="S954" t="s">
        <v>36</v>
      </c>
      <c r="T954" t="str">
        <f>"85326"</f>
        <v>85326</v>
      </c>
      <c r="U954" t="str">
        <f>""</f>
        <v/>
      </c>
      <c r="V954" t="s">
        <v>3423</v>
      </c>
      <c r="X954" t="s">
        <v>2670</v>
      </c>
      <c r="Y954" t="s">
        <v>36</v>
      </c>
      <c r="Z954" t="str">
        <f>"85338"</f>
        <v>85338</v>
      </c>
      <c r="AA954" t="str">
        <f>""</f>
        <v/>
      </c>
      <c r="AB954" t="s">
        <v>56</v>
      </c>
    </row>
    <row r="955" spans="1:28" x14ac:dyDescent="0.25">
      <c r="A955">
        <v>4284</v>
      </c>
      <c r="B955" t="str">
        <f>"070501000"</f>
        <v>070501000</v>
      </c>
      <c r="C955" t="s">
        <v>3411</v>
      </c>
      <c r="D955">
        <v>89573</v>
      </c>
      <c r="E955" t="str">
        <f>"070501204"</f>
        <v>070501204</v>
      </c>
      <c r="F955" t="s">
        <v>3424</v>
      </c>
      <c r="G955" t="s">
        <v>42</v>
      </c>
      <c r="H955" t="s">
        <v>3418</v>
      </c>
      <c r="I955" t="s">
        <v>3419</v>
      </c>
      <c r="J955" t="s">
        <v>3422</v>
      </c>
      <c r="K955" t="str">
        <f>"6233272284"</f>
        <v>6233272284</v>
      </c>
      <c r="L955" t="str">
        <f>""</f>
        <v/>
      </c>
      <c r="M955" t="str">
        <f>"6233869705"</f>
        <v>6233869705</v>
      </c>
      <c r="N955" t="str">
        <f>""</f>
        <v/>
      </c>
      <c r="O955" t="s">
        <v>3420</v>
      </c>
      <c r="P955" t="s">
        <v>3416</v>
      </c>
      <c r="R955" t="s">
        <v>1158</v>
      </c>
      <c r="S955" t="s">
        <v>36</v>
      </c>
      <c r="T955" t="str">
        <f>"85326"</f>
        <v>85326</v>
      </c>
      <c r="U955" t="str">
        <f>""</f>
        <v/>
      </c>
      <c r="V955" t="s">
        <v>3425</v>
      </c>
      <c r="X955" t="s">
        <v>1158</v>
      </c>
      <c r="Y955" t="s">
        <v>36</v>
      </c>
      <c r="Z955" t="str">
        <f>"85326"</f>
        <v>85326</v>
      </c>
      <c r="AA955" t="str">
        <f>""</f>
        <v/>
      </c>
      <c r="AB955" t="s">
        <v>56</v>
      </c>
    </row>
    <row r="956" spans="1:28" x14ac:dyDescent="0.25">
      <c r="A956">
        <v>4285</v>
      </c>
      <c r="B956" t="str">
        <f t="shared" ref="B956:B965" si="156">"070505000"</f>
        <v>070505000</v>
      </c>
      <c r="C956" t="s">
        <v>3426</v>
      </c>
      <c r="D956">
        <v>0</v>
      </c>
      <c r="E956" t="str">
        <f>""</f>
        <v/>
      </c>
      <c r="G956" t="s">
        <v>29</v>
      </c>
      <c r="H956" t="s">
        <v>3427</v>
      </c>
      <c r="I956" t="s">
        <v>3428</v>
      </c>
      <c r="J956" t="s">
        <v>32</v>
      </c>
      <c r="K956" t="str">
        <f>"6234356016"</f>
        <v>6234356016</v>
      </c>
      <c r="L956" t="str">
        <f>""</f>
        <v/>
      </c>
      <c r="M956" t="str">
        <f>"6234356686"</f>
        <v>6234356686</v>
      </c>
      <c r="N956" t="str">
        <f>""</f>
        <v/>
      </c>
      <c r="O956" t="s">
        <v>3429</v>
      </c>
      <c r="P956" t="s">
        <v>3430</v>
      </c>
      <c r="R956" t="s">
        <v>1173</v>
      </c>
      <c r="S956" t="s">
        <v>36</v>
      </c>
      <c r="T956" t="str">
        <f>"85301"</f>
        <v>85301</v>
      </c>
      <c r="U956" t="str">
        <f>""</f>
        <v/>
      </c>
      <c r="V956" t="s">
        <v>3430</v>
      </c>
      <c r="X956" t="s">
        <v>1173</v>
      </c>
      <c r="Y956" t="s">
        <v>36</v>
      </c>
      <c r="Z956" t="str">
        <f>"85301"</f>
        <v>85301</v>
      </c>
      <c r="AA956" t="str">
        <f>""</f>
        <v/>
      </c>
      <c r="AB956" t="s">
        <v>217</v>
      </c>
    </row>
    <row r="957" spans="1:28" x14ac:dyDescent="0.25">
      <c r="A957">
        <v>4285</v>
      </c>
      <c r="B957" t="str">
        <f t="shared" si="156"/>
        <v>070505000</v>
      </c>
      <c r="C957" t="s">
        <v>3426</v>
      </c>
      <c r="D957">
        <v>5426</v>
      </c>
      <c r="E957" t="str">
        <f>"070505201"</f>
        <v>070505201</v>
      </c>
      <c r="F957" t="s">
        <v>3431</v>
      </c>
      <c r="G957" t="s">
        <v>42</v>
      </c>
      <c r="H957" t="s">
        <v>2932</v>
      </c>
      <c r="I957" t="s">
        <v>3258</v>
      </c>
      <c r="J957" t="s">
        <v>926</v>
      </c>
      <c r="K957" t="str">
        <f>"6234356208"</f>
        <v>6234356208</v>
      </c>
      <c r="L957" t="str">
        <f>""</f>
        <v/>
      </c>
      <c r="M957" t="str">
        <f>"6234356270"</f>
        <v>6234356270</v>
      </c>
      <c r="N957" t="str">
        <f>""</f>
        <v/>
      </c>
      <c r="O957" t="s">
        <v>3432</v>
      </c>
      <c r="P957" t="s">
        <v>3433</v>
      </c>
      <c r="R957" t="s">
        <v>1173</v>
      </c>
      <c r="S957" t="s">
        <v>36</v>
      </c>
      <c r="T957" t="str">
        <f>"85301"</f>
        <v>85301</v>
      </c>
      <c r="U957" t="str">
        <f>""</f>
        <v/>
      </c>
      <c r="V957" t="s">
        <v>3434</v>
      </c>
      <c r="X957" t="s">
        <v>1173</v>
      </c>
      <c r="Y957" t="s">
        <v>36</v>
      </c>
      <c r="Z957" t="str">
        <f>"85301"</f>
        <v>85301</v>
      </c>
      <c r="AA957" t="str">
        <f>""</f>
        <v/>
      </c>
      <c r="AB957" t="s">
        <v>217</v>
      </c>
    </row>
    <row r="958" spans="1:28" x14ac:dyDescent="0.25">
      <c r="A958">
        <v>4285</v>
      </c>
      <c r="B958" t="str">
        <f t="shared" si="156"/>
        <v>070505000</v>
      </c>
      <c r="C958" t="s">
        <v>3426</v>
      </c>
      <c r="D958">
        <v>5427</v>
      </c>
      <c r="E958" t="str">
        <f>"070505202"</f>
        <v>070505202</v>
      </c>
      <c r="F958" t="s">
        <v>3435</v>
      </c>
      <c r="G958" t="s">
        <v>42</v>
      </c>
      <c r="H958" t="s">
        <v>3436</v>
      </c>
      <c r="I958" t="s">
        <v>3437</v>
      </c>
      <c r="J958" t="s">
        <v>926</v>
      </c>
      <c r="K958" t="str">
        <f>"6239158790"</f>
        <v>6239158790</v>
      </c>
      <c r="L958" t="str">
        <f>""</f>
        <v/>
      </c>
      <c r="M958" t="str">
        <f>"6239158762"</f>
        <v>6239158762</v>
      </c>
      <c r="N958" t="str">
        <f>""</f>
        <v/>
      </c>
      <c r="O958" t="s">
        <v>3438</v>
      </c>
      <c r="P958" t="s">
        <v>3433</v>
      </c>
      <c r="R958" t="s">
        <v>1173</v>
      </c>
      <c r="S958" t="s">
        <v>36</v>
      </c>
      <c r="T958" t="str">
        <f>"85301"</f>
        <v>85301</v>
      </c>
      <c r="U958" t="str">
        <f>""</f>
        <v/>
      </c>
      <c r="V958" t="s">
        <v>3439</v>
      </c>
      <c r="X958" t="s">
        <v>964</v>
      </c>
      <c r="Y958" t="s">
        <v>36</v>
      </c>
      <c r="Z958" t="str">
        <f>"85021"</f>
        <v>85021</v>
      </c>
      <c r="AA958" t="str">
        <f>""</f>
        <v/>
      </c>
      <c r="AB958" t="s">
        <v>217</v>
      </c>
    </row>
    <row r="959" spans="1:28" x14ac:dyDescent="0.25">
      <c r="A959">
        <v>4285</v>
      </c>
      <c r="B959" t="str">
        <f t="shared" si="156"/>
        <v>070505000</v>
      </c>
      <c r="C959" t="s">
        <v>3426</v>
      </c>
      <c r="D959">
        <v>5428</v>
      </c>
      <c r="E959" t="str">
        <f>"070505203"</f>
        <v>070505203</v>
      </c>
      <c r="F959" t="s">
        <v>3440</v>
      </c>
      <c r="G959" t="s">
        <v>42</v>
      </c>
      <c r="H959" t="s">
        <v>3441</v>
      </c>
      <c r="I959" t="s">
        <v>3442</v>
      </c>
      <c r="J959" t="s">
        <v>926</v>
      </c>
      <c r="K959" t="str">
        <f>"6239158410"</f>
        <v>6239158410</v>
      </c>
      <c r="L959" t="str">
        <f>""</f>
        <v/>
      </c>
      <c r="M959" t="str">
        <f>"6239158437"</f>
        <v>6239158437</v>
      </c>
      <c r="N959" t="str">
        <f>""</f>
        <v/>
      </c>
      <c r="O959" t="s">
        <v>3443</v>
      </c>
      <c r="P959" t="s">
        <v>3433</v>
      </c>
      <c r="R959" t="s">
        <v>1173</v>
      </c>
      <c r="S959" t="s">
        <v>36</v>
      </c>
      <c r="T959" t="str">
        <f>"85301"</f>
        <v>85301</v>
      </c>
      <c r="U959" t="str">
        <f>""</f>
        <v/>
      </c>
      <c r="V959" t="s">
        <v>3444</v>
      </c>
      <c r="X959" t="s">
        <v>964</v>
      </c>
      <c r="Y959" t="s">
        <v>36</v>
      </c>
      <c r="Z959" t="str">
        <f>"85021"</f>
        <v>85021</v>
      </c>
      <c r="AA959" t="str">
        <f>""</f>
        <v/>
      </c>
      <c r="AB959" t="s">
        <v>217</v>
      </c>
    </row>
    <row r="960" spans="1:28" x14ac:dyDescent="0.25">
      <c r="A960">
        <v>4285</v>
      </c>
      <c r="B960" t="str">
        <f t="shared" si="156"/>
        <v>070505000</v>
      </c>
      <c r="C960" t="s">
        <v>3426</v>
      </c>
      <c r="D960">
        <v>5429</v>
      </c>
      <c r="E960" t="str">
        <f>"070505204"</f>
        <v>070505204</v>
      </c>
      <c r="F960" t="s">
        <v>3445</v>
      </c>
      <c r="G960" t="s">
        <v>42</v>
      </c>
      <c r="H960" t="s">
        <v>2340</v>
      </c>
      <c r="I960" t="s">
        <v>2949</v>
      </c>
      <c r="J960" t="s">
        <v>926</v>
      </c>
      <c r="K960" t="str">
        <f>"6239158222"</f>
        <v>6239158222</v>
      </c>
      <c r="L960" t="str">
        <f>""</f>
        <v/>
      </c>
      <c r="M960" t="str">
        <f>"6239158244"</f>
        <v>6239158244</v>
      </c>
      <c r="N960" t="str">
        <f>""</f>
        <v/>
      </c>
      <c r="O960" t="s">
        <v>3446</v>
      </c>
      <c r="P960" t="s">
        <v>3430</v>
      </c>
      <c r="R960" t="s">
        <v>1173</v>
      </c>
      <c r="S960" t="s">
        <v>36</v>
      </c>
      <c r="T960" t="str">
        <f>"85051"</f>
        <v>85051</v>
      </c>
      <c r="U960" t="str">
        <f>""</f>
        <v/>
      </c>
      <c r="V960" t="s">
        <v>3447</v>
      </c>
      <c r="X960" t="s">
        <v>1173</v>
      </c>
      <c r="Y960" t="s">
        <v>36</v>
      </c>
      <c r="Z960" t="str">
        <f>"85051"</f>
        <v>85051</v>
      </c>
      <c r="AA960" t="str">
        <f>""</f>
        <v/>
      </c>
      <c r="AB960" t="s">
        <v>217</v>
      </c>
    </row>
    <row r="961" spans="1:28" x14ac:dyDescent="0.25">
      <c r="A961">
        <v>4285</v>
      </c>
      <c r="B961" t="str">
        <f t="shared" si="156"/>
        <v>070505000</v>
      </c>
      <c r="C961" t="s">
        <v>3426</v>
      </c>
      <c r="D961">
        <v>5430</v>
      </c>
      <c r="E961" t="str">
        <f>"070505205"</f>
        <v>070505205</v>
      </c>
      <c r="F961" t="s">
        <v>3448</v>
      </c>
      <c r="G961" t="s">
        <v>42</v>
      </c>
      <c r="H961" t="s">
        <v>3449</v>
      </c>
      <c r="I961" t="s">
        <v>3450</v>
      </c>
      <c r="J961" t="s">
        <v>926</v>
      </c>
      <c r="K961" t="str">
        <f>"6239158043"</f>
        <v>6239158043</v>
      </c>
      <c r="L961" t="str">
        <f>""</f>
        <v/>
      </c>
      <c r="M961" t="str">
        <f>"6239158070"</f>
        <v>6239158070</v>
      </c>
      <c r="N961" t="str">
        <f>""</f>
        <v/>
      </c>
      <c r="O961" t="s">
        <v>3451</v>
      </c>
      <c r="P961" t="s">
        <v>3452</v>
      </c>
      <c r="R961" t="s">
        <v>1173</v>
      </c>
      <c r="S961" t="s">
        <v>36</v>
      </c>
      <c r="T961" t="str">
        <f>"85301"</f>
        <v>85301</v>
      </c>
      <c r="U961" t="str">
        <f>""</f>
        <v/>
      </c>
      <c r="V961" t="s">
        <v>3453</v>
      </c>
      <c r="X961" t="s">
        <v>964</v>
      </c>
      <c r="Y961" t="s">
        <v>36</v>
      </c>
      <c r="Z961" t="str">
        <f>"85029"</f>
        <v>85029</v>
      </c>
      <c r="AA961" t="str">
        <f>""</f>
        <v/>
      </c>
      <c r="AB961" t="s">
        <v>217</v>
      </c>
    </row>
    <row r="962" spans="1:28" x14ac:dyDescent="0.25">
      <c r="A962">
        <v>4285</v>
      </c>
      <c r="B962" t="str">
        <f t="shared" si="156"/>
        <v>070505000</v>
      </c>
      <c r="C962" t="s">
        <v>3426</v>
      </c>
      <c r="D962">
        <v>5431</v>
      </c>
      <c r="E962" t="str">
        <f>"070505206"</f>
        <v>070505206</v>
      </c>
      <c r="F962" t="s">
        <v>3454</v>
      </c>
      <c r="G962" t="s">
        <v>42</v>
      </c>
      <c r="H962" t="s">
        <v>1599</v>
      </c>
      <c r="I962" t="s">
        <v>3258</v>
      </c>
      <c r="J962" t="s">
        <v>315</v>
      </c>
      <c r="K962" t="str">
        <f>"6234356344"</f>
        <v>6234356344</v>
      </c>
      <c r="L962" t="str">
        <f>""</f>
        <v/>
      </c>
      <c r="M962" t="str">
        <f>"6234356369"</f>
        <v>6234356369</v>
      </c>
      <c r="N962" t="str">
        <f>""</f>
        <v/>
      </c>
      <c r="O962" t="s">
        <v>3455</v>
      </c>
      <c r="P962" t="s">
        <v>3433</v>
      </c>
      <c r="R962" t="s">
        <v>1173</v>
      </c>
      <c r="S962" t="s">
        <v>36</v>
      </c>
      <c r="T962" t="str">
        <f>"85301"</f>
        <v>85301</v>
      </c>
      <c r="U962" t="str">
        <f>""</f>
        <v/>
      </c>
      <c r="V962" t="s">
        <v>3456</v>
      </c>
      <c r="X962" t="s">
        <v>1173</v>
      </c>
      <c r="Y962" t="s">
        <v>36</v>
      </c>
      <c r="Z962" t="str">
        <f>"85302"</f>
        <v>85302</v>
      </c>
      <c r="AA962" t="str">
        <f>""</f>
        <v/>
      </c>
      <c r="AB962" t="s">
        <v>217</v>
      </c>
    </row>
    <row r="963" spans="1:28" x14ac:dyDescent="0.25">
      <c r="A963">
        <v>4285</v>
      </c>
      <c r="B963" t="str">
        <f t="shared" si="156"/>
        <v>070505000</v>
      </c>
      <c r="C963" t="s">
        <v>3426</v>
      </c>
      <c r="D963">
        <v>5432</v>
      </c>
      <c r="E963" t="str">
        <f>"070505207"</f>
        <v>070505207</v>
      </c>
      <c r="F963" t="s">
        <v>3457</v>
      </c>
      <c r="G963" t="s">
        <v>42</v>
      </c>
      <c r="H963" t="s">
        <v>3458</v>
      </c>
      <c r="I963" t="s">
        <v>3459</v>
      </c>
      <c r="J963" t="s">
        <v>926</v>
      </c>
      <c r="K963" t="str">
        <f>"6239158918"</f>
        <v>6239158918</v>
      </c>
      <c r="L963" t="str">
        <f>""</f>
        <v/>
      </c>
      <c r="M963" t="str">
        <f>"6239158971"</f>
        <v>6239158971</v>
      </c>
      <c r="N963" t="str">
        <f>""</f>
        <v/>
      </c>
      <c r="O963" t="s">
        <v>3460</v>
      </c>
      <c r="P963" t="s">
        <v>3461</v>
      </c>
      <c r="R963" t="s">
        <v>1173</v>
      </c>
      <c r="S963" t="s">
        <v>36</v>
      </c>
      <c r="T963" t="str">
        <f>"85301"</f>
        <v>85301</v>
      </c>
      <c r="U963" t="str">
        <f>""</f>
        <v/>
      </c>
      <c r="V963" t="s">
        <v>3462</v>
      </c>
      <c r="X963" t="s">
        <v>964</v>
      </c>
      <c r="Y963" t="s">
        <v>36</v>
      </c>
      <c r="Z963" t="str">
        <f>"85023"</f>
        <v>85023</v>
      </c>
      <c r="AA963" t="str">
        <f>""</f>
        <v/>
      </c>
      <c r="AB963" t="s">
        <v>217</v>
      </c>
    </row>
    <row r="964" spans="1:28" x14ac:dyDescent="0.25">
      <c r="A964">
        <v>4285</v>
      </c>
      <c r="B964" t="str">
        <f t="shared" si="156"/>
        <v>070505000</v>
      </c>
      <c r="C964" t="s">
        <v>3426</v>
      </c>
      <c r="D964">
        <v>5433</v>
      </c>
      <c r="E964" t="str">
        <f>"070505208"</f>
        <v>070505208</v>
      </c>
      <c r="F964" t="s">
        <v>3463</v>
      </c>
      <c r="G964" t="s">
        <v>42</v>
      </c>
      <c r="H964" t="s">
        <v>3464</v>
      </c>
      <c r="I964" t="s">
        <v>3465</v>
      </c>
      <c r="J964" t="s">
        <v>926</v>
      </c>
      <c r="K964" t="str">
        <f>"6239158516"</f>
        <v>6239158516</v>
      </c>
      <c r="L964" t="str">
        <f>""</f>
        <v/>
      </c>
      <c r="M964" t="str">
        <f>"6239158560"</f>
        <v>6239158560</v>
      </c>
      <c r="N964" t="str">
        <f>""</f>
        <v/>
      </c>
      <c r="O964" t="s">
        <v>3466</v>
      </c>
      <c r="P964" t="s">
        <v>3433</v>
      </c>
      <c r="R964" t="s">
        <v>1173</v>
      </c>
      <c r="S964" t="s">
        <v>36</v>
      </c>
      <c r="T964" t="str">
        <f>"85301"</f>
        <v>85301</v>
      </c>
      <c r="U964" t="str">
        <f>""</f>
        <v/>
      </c>
      <c r="V964" t="s">
        <v>3467</v>
      </c>
      <c r="X964" t="s">
        <v>964</v>
      </c>
      <c r="Y964" t="s">
        <v>36</v>
      </c>
      <c r="Z964" t="str">
        <f>"85053"</f>
        <v>85053</v>
      </c>
      <c r="AA964" t="str">
        <f>""</f>
        <v/>
      </c>
      <c r="AB964" t="s">
        <v>217</v>
      </c>
    </row>
    <row r="965" spans="1:28" x14ac:dyDescent="0.25">
      <c r="A965">
        <v>4285</v>
      </c>
      <c r="B965" t="str">
        <f t="shared" si="156"/>
        <v>070505000</v>
      </c>
      <c r="C965" t="s">
        <v>3426</v>
      </c>
      <c r="D965">
        <v>5434</v>
      </c>
      <c r="E965" t="str">
        <f>"070505209"</f>
        <v>070505209</v>
      </c>
      <c r="F965" t="s">
        <v>3468</v>
      </c>
      <c r="G965" t="s">
        <v>42</v>
      </c>
      <c r="H965" t="s">
        <v>3469</v>
      </c>
      <c r="I965" t="s">
        <v>3470</v>
      </c>
      <c r="J965" t="s">
        <v>926</v>
      </c>
      <c r="K965" t="str">
        <f>"6234356118"</f>
        <v>6234356118</v>
      </c>
      <c r="L965" t="str">
        <f>""</f>
        <v/>
      </c>
      <c r="M965" t="str">
        <f>"6234356157"</f>
        <v>6234356157</v>
      </c>
      <c r="N965" t="str">
        <f>""</f>
        <v/>
      </c>
      <c r="O965" t="s">
        <v>3471</v>
      </c>
      <c r="P965" t="s">
        <v>3433</v>
      </c>
      <c r="R965" t="s">
        <v>1173</v>
      </c>
      <c r="S965" t="s">
        <v>36</v>
      </c>
      <c r="T965" t="str">
        <f>"85301"</f>
        <v>85301</v>
      </c>
      <c r="U965" t="str">
        <f>""</f>
        <v/>
      </c>
      <c r="V965" t="s">
        <v>3472</v>
      </c>
      <c r="X965" t="s">
        <v>1173</v>
      </c>
      <c r="Y965" t="s">
        <v>36</v>
      </c>
      <c r="Z965" t="str">
        <f>"85303"</f>
        <v>85303</v>
      </c>
      <c r="AA965" t="str">
        <f>""</f>
        <v/>
      </c>
      <c r="AB965" t="s">
        <v>217</v>
      </c>
    </row>
    <row r="966" spans="1:28" x14ac:dyDescent="0.25">
      <c r="A966">
        <v>4286</v>
      </c>
      <c r="B966" t="str">
        <f t="shared" ref="B966:B983" si="157">"070510000"</f>
        <v>070510000</v>
      </c>
      <c r="C966" t="s">
        <v>3473</v>
      </c>
      <c r="D966">
        <v>0</v>
      </c>
      <c r="E966" t="str">
        <f>""</f>
        <v/>
      </c>
      <c r="G966" t="s">
        <v>29</v>
      </c>
      <c r="H966" t="s">
        <v>1681</v>
      </c>
      <c r="I966" t="s">
        <v>3474</v>
      </c>
      <c r="J966" t="s">
        <v>32</v>
      </c>
      <c r="K966" t="str">
        <f>"6027647901"</f>
        <v>6027647901</v>
      </c>
      <c r="L966" t="str">
        <f>""</f>
        <v/>
      </c>
      <c r="M966" t="str">
        <f>""</f>
        <v/>
      </c>
      <c r="N966" t="str">
        <f>""</f>
        <v/>
      </c>
      <c r="O966" t="s">
        <v>3475</v>
      </c>
      <c r="P966" t="s">
        <v>3476</v>
      </c>
      <c r="Q966" t="s">
        <v>3477</v>
      </c>
      <c r="R966" t="s">
        <v>964</v>
      </c>
      <c r="S966" t="s">
        <v>36</v>
      </c>
      <c r="T966" t="str">
        <f>"85012"</f>
        <v>85012</v>
      </c>
      <c r="U966" t="str">
        <f>"4142"</f>
        <v>4142</v>
      </c>
      <c r="V966" t="s">
        <v>3476</v>
      </c>
      <c r="W966" t="s">
        <v>3477</v>
      </c>
      <c r="X966" t="s">
        <v>964</v>
      </c>
      <c r="Y966" t="s">
        <v>36</v>
      </c>
      <c r="Z966" t="str">
        <f>"85012"</f>
        <v>85012</v>
      </c>
      <c r="AA966" t="str">
        <f>"4142"</f>
        <v>4142</v>
      </c>
      <c r="AB966" t="s">
        <v>265</v>
      </c>
    </row>
    <row r="967" spans="1:28" x14ac:dyDescent="0.25">
      <c r="A967">
        <v>4286</v>
      </c>
      <c r="B967" t="str">
        <f t="shared" si="157"/>
        <v>070510000</v>
      </c>
      <c r="C967" t="s">
        <v>3473</v>
      </c>
      <c r="D967">
        <v>5436</v>
      </c>
      <c r="E967" t="str">
        <f>"070510210"</f>
        <v>070510210</v>
      </c>
      <c r="F967" t="s">
        <v>3478</v>
      </c>
      <c r="G967" t="s">
        <v>42</v>
      </c>
      <c r="H967" t="s">
        <v>3479</v>
      </c>
      <c r="I967" t="s">
        <v>3480</v>
      </c>
      <c r="J967" t="s">
        <v>315</v>
      </c>
      <c r="K967" t="str">
        <f>"6027646265"</f>
        <v>6027646265</v>
      </c>
      <c r="L967" t="str">
        <f>""</f>
        <v/>
      </c>
      <c r="M967" t="str">
        <f>"6027646455"</f>
        <v>6027646455</v>
      </c>
      <c r="N967" t="str">
        <f>""</f>
        <v/>
      </c>
      <c r="O967" t="s">
        <v>3481</v>
      </c>
      <c r="P967" t="s">
        <v>3482</v>
      </c>
      <c r="R967" t="s">
        <v>964</v>
      </c>
      <c r="S967" t="s">
        <v>36</v>
      </c>
      <c r="T967" t="str">
        <f t="shared" ref="T967:T981" si="158">"85014"</f>
        <v>85014</v>
      </c>
      <c r="U967" t="str">
        <f>""</f>
        <v/>
      </c>
      <c r="V967" t="s">
        <v>3483</v>
      </c>
      <c r="X967" t="s">
        <v>964</v>
      </c>
      <c r="Y967" t="s">
        <v>36</v>
      </c>
      <c r="Z967" t="str">
        <f>"85019"</f>
        <v>85019</v>
      </c>
      <c r="AA967" t="str">
        <f>""</f>
        <v/>
      </c>
      <c r="AB967" t="s">
        <v>265</v>
      </c>
    </row>
    <row r="968" spans="1:28" x14ac:dyDescent="0.25">
      <c r="A968">
        <v>4286</v>
      </c>
      <c r="B968" t="str">
        <f t="shared" si="157"/>
        <v>070510000</v>
      </c>
      <c r="C968" t="s">
        <v>3473</v>
      </c>
      <c r="D968">
        <v>5437</v>
      </c>
      <c r="E968" t="str">
        <f>"070510220"</f>
        <v>070510220</v>
      </c>
      <c r="F968" t="s">
        <v>3484</v>
      </c>
      <c r="G968" t="s">
        <v>42</v>
      </c>
      <c r="H968" t="s">
        <v>3485</v>
      </c>
      <c r="I968" t="s">
        <v>399</v>
      </c>
      <c r="J968" t="s">
        <v>315</v>
      </c>
      <c r="K968" t="str">
        <f>"6027648646"</f>
        <v>6027648646</v>
      </c>
      <c r="L968" t="str">
        <f>""</f>
        <v/>
      </c>
      <c r="M968" t="str">
        <f>"6022712001"</f>
        <v>6022712001</v>
      </c>
      <c r="N968" t="str">
        <f>""</f>
        <v/>
      </c>
      <c r="O968" t="s">
        <v>3486</v>
      </c>
      <c r="P968" t="s">
        <v>3482</v>
      </c>
      <c r="R968" t="s">
        <v>964</v>
      </c>
      <c r="S968" t="s">
        <v>36</v>
      </c>
      <c r="T968" t="str">
        <f t="shared" si="158"/>
        <v>85014</v>
      </c>
      <c r="U968" t="str">
        <f>"4142"</f>
        <v>4142</v>
      </c>
      <c r="V968" t="s">
        <v>3487</v>
      </c>
      <c r="X968" t="s">
        <v>964</v>
      </c>
      <c r="Y968" t="s">
        <v>36</v>
      </c>
      <c r="Z968" t="str">
        <f>"85033"</f>
        <v>85033</v>
      </c>
      <c r="AA968" t="str">
        <f>""</f>
        <v/>
      </c>
      <c r="AB968" t="s">
        <v>265</v>
      </c>
    </row>
    <row r="969" spans="1:28" x14ac:dyDescent="0.25">
      <c r="A969">
        <v>4286</v>
      </c>
      <c r="B969" t="str">
        <f t="shared" si="157"/>
        <v>070510000</v>
      </c>
      <c r="C969" t="s">
        <v>3473</v>
      </c>
      <c r="D969">
        <v>5438</v>
      </c>
      <c r="E969" t="str">
        <f>"070510225"</f>
        <v>070510225</v>
      </c>
      <c r="F969" t="s">
        <v>3488</v>
      </c>
      <c r="G969" t="s">
        <v>42</v>
      </c>
      <c r="H969" t="s">
        <v>1595</v>
      </c>
      <c r="I969" t="s">
        <v>3489</v>
      </c>
      <c r="J969" t="s">
        <v>315</v>
      </c>
      <c r="K969" t="str">
        <f>"6027647096"</f>
        <v>6027647096</v>
      </c>
      <c r="L969" t="str">
        <f>""</f>
        <v/>
      </c>
      <c r="M969" t="str">
        <f>"6022298391"</f>
        <v>6022298391</v>
      </c>
      <c r="N969" t="str">
        <f>""</f>
        <v/>
      </c>
      <c r="O969" t="s">
        <v>3490</v>
      </c>
      <c r="P969" t="s">
        <v>3482</v>
      </c>
      <c r="R969" t="s">
        <v>964</v>
      </c>
      <c r="S969" t="s">
        <v>36</v>
      </c>
      <c r="T969" t="str">
        <f t="shared" si="158"/>
        <v>85014</v>
      </c>
      <c r="U969" t="str">
        <f>""</f>
        <v/>
      </c>
      <c r="V969" t="s">
        <v>3491</v>
      </c>
      <c r="X969" t="s">
        <v>964</v>
      </c>
      <c r="Y969" t="s">
        <v>36</v>
      </c>
      <c r="Z969" t="str">
        <f>"85016"</f>
        <v>85016</v>
      </c>
      <c r="AA969" t="str">
        <f>""</f>
        <v/>
      </c>
      <c r="AB969" t="s">
        <v>265</v>
      </c>
    </row>
    <row r="970" spans="1:28" x14ac:dyDescent="0.25">
      <c r="A970">
        <v>4286</v>
      </c>
      <c r="B970" t="str">
        <f t="shared" si="157"/>
        <v>070510000</v>
      </c>
      <c r="C970" t="s">
        <v>3473</v>
      </c>
      <c r="D970">
        <v>5439</v>
      </c>
      <c r="E970" t="str">
        <f>"070510230"</f>
        <v>070510230</v>
      </c>
      <c r="F970" t="s">
        <v>3492</v>
      </c>
      <c r="G970" t="s">
        <v>42</v>
      </c>
      <c r="H970" t="s">
        <v>840</v>
      </c>
      <c r="I970" t="s">
        <v>2435</v>
      </c>
      <c r="J970" t="s">
        <v>315</v>
      </c>
      <c r="K970" t="str">
        <f>"6027647690"</f>
        <v>6027647690</v>
      </c>
      <c r="L970" t="str">
        <f>""</f>
        <v/>
      </c>
      <c r="M970" t="str">
        <f>"6022298393"</f>
        <v>6022298393</v>
      </c>
      <c r="N970" t="str">
        <f>""</f>
        <v/>
      </c>
      <c r="O970" t="s">
        <v>3493</v>
      </c>
      <c r="P970" t="s">
        <v>3482</v>
      </c>
      <c r="R970" t="s">
        <v>964</v>
      </c>
      <c r="S970" t="s">
        <v>36</v>
      </c>
      <c r="T970" t="str">
        <f t="shared" si="158"/>
        <v>85014</v>
      </c>
      <c r="U970" t="str">
        <f>""</f>
        <v/>
      </c>
      <c r="V970" t="s">
        <v>3494</v>
      </c>
      <c r="X970" t="s">
        <v>964</v>
      </c>
      <c r="Y970" t="s">
        <v>36</v>
      </c>
      <c r="Z970" t="str">
        <f>"85012"</f>
        <v>85012</v>
      </c>
      <c r="AA970" t="str">
        <f>""</f>
        <v/>
      </c>
      <c r="AB970" t="s">
        <v>265</v>
      </c>
    </row>
    <row r="971" spans="1:28" x14ac:dyDescent="0.25">
      <c r="A971">
        <v>4286</v>
      </c>
      <c r="B971" t="str">
        <f t="shared" si="157"/>
        <v>070510000</v>
      </c>
      <c r="C971" t="s">
        <v>3473</v>
      </c>
      <c r="D971">
        <v>5440</v>
      </c>
      <c r="E971" t="str">
        <f>"070510245"</f>
        <v>070510245</v>
      </c>
      <c r="F971" t="s">
        <v>3495</v>
      </c>
      <c r="G971" t="s">
        <v>42</v>
      </c>
      <c r="H971" t="s">
        <v>3496</v>
      </c>
      <c r="I971" t="s">
        <v>3497</v>
      </c>
      <c r="J971" t="s">
        <v>315</v>
      </c>
      <c r="K971" t="str">
        <f>"6027643117"</f>
        <v>6027643117</v>
      </c>
      <c r="L971" t="str">
        <f>""</f>
        <v/>
      </c>
      <c r="M971" t="str">
        <f>"6022298392"</f>
        <v>6022298392</v>
      </c>
      <c r="N971" t="str">
        <f>""</f>
        <v/>
      </c>
      <c r="O971" t="s">
        <v>3498</v>
      </c>
      <c r="P971" t="s">
        <v>3482</v>
      </c>
      <c r="R971" t="s">
        <v>964</v>
      </c>
      <c r="S971" t="s">
        <v>36</v>
      </c>
      <c r="T971" t="str">
        <f t="shared" si="158"/>
        <v>85014</v>
      </c>
      <c r="U971" t="str">
        <f>"4142"</f>
        <v>4142</v>
      </c>
      <c r="V971" t="s">
        <v>3499</v>
      </c>
      <c r="X971" t="s">
        <v>964</v>
      </c>
      <c r="Y971" t="s">
        <v>36</v>
      </c>
      <c r="Z971" t="str">
        <f>"85009"</f>
        <v>85009</v>
      </c>
      <c r="AA971" t="str">
        <f>""</f>
        <v/>
      </c>
      <c r="AB971" t="s">
        <v>265</v>
      </c>
    </row>
    <row r="972" spans="1:28" x14ac:dyDescent="0.25">
      <c r="A972">
        <v>4286</v>
      </c>
      <c r="B972" t="str">
        <f t="shared" si="157"/>
        <v>070510000</v>
      </c>
      <c r="C972" t="s">
        <v>3473</v>
      </c>
      <c r="D972">
        <v>5441</v>
      </c>
      <c r="E972" t="str">
        <f>"070510250"</f>
        <v>070510250</v>
      </c>
      <c r="F972" t="s">
        <v>3500</v>
      </c>
      <c r="G972" t="s">
        <v>42</v>
      </c>
      <c r="H972" t="s">
        <v>403</v>
      </c>
      <c r="I972" t="s">
        <v>3501</v>
      </c>
      <c r="J972" t="s">
        <v>315</v>
      </c>
      <c r="K972" t="str">
        <f>"6027642145"</f>
        <v>6027642145</v>
      </c>
      <c r="L972" t="str">
        <f>""</f>
        <v/>
      </c>
      <c r="M972" t="str">
        <f>"6022298396"</f>
        <v>6022298396</v>
      </c>
      <c r="N972" t="str">
        <f>""</f>
        <v/>
      </c>
      <c r="O972" t="s">
        <v>3502</v>
      </c>
      <c r="P972" t="s">
        <v>3482</v>
      </c>
      <c r="R972" t="s">
        <v>964</v>
      </c>
      <c r="S972" t="s">
        <v>36</v>
      </c>
      <c r="T972" t="str">
        <f t="shared" si="158"/>
        <v>85014</v>
      </c>
      <c r="U972" t="str">
        <f>""</f>
        <v/>
      </c>
      <c r="V972" t="s">
        <v>3503</v>
      </c>
      <c r="X972" t="s">
        <v>964</v>
      </c>
      <c r="Y972" t="s">
        <v>36</v>
      </c>
      <c r="Z972" t="str">
        <f>"85033"</f>
        <v>85033</v>
      </c>
      <c r="AA972" t="str">
        <f>""</f>
        <v/>
      </c>
      <c r="AB972" t="s">
        <v>265</v>
      </c>
    </row>
    <row r="973" spans="1:28" x14ac:dyDescent="0.25">
      <c r="A973">
        <v>4286</v>
      </c>
      <c r="B973" t="str">
        <f t="shared" si="157"/>
        <v>070510000</v>
      </c>
      <c r="C973" t="s">
        <v>3473</v>
      </c>
      <c r="D973">
        <v>5442</v>
      </c>
      <c r="E973" t="str">
        <f>"070510255"</f>
        <v>070510255</v>
      </c>
      <c r="F973" t="s">
        <v>3504</v>
      </c>
      <c r="G973" t="s">
        <v>42</v>
      </c>
      <c r="H973" t="s">
        <v>1694</v>
      </c>
      <c r="I973" t="s">
        <v>3505</v>
      </c>
      <c r="J973" t="s">
        <v>315</v>
      </c>
      <c r="K973" t="str">
        <f>"6027646602"</f>
        <v>6027646602</v>
      </c>
      <c r="L973" t="str">
        <f>""</f>
        <v/>
      </c>
      <c r="M973" t="str">
        <f>"6022298398"</f>
        <v>6022298398</v>
      </c>
      <c r="N973" t="str">
        <f>""</f>
        <v/>
      </c>
      <c r="O973" t="s">
        <v>3506</v>
      </c>
      <c r="P973" t="s">
        <v>3482</v>
      </c>
      <c r="R973" t="s">
        <v>964</v>
      </c>
      <c r="S973" t="s">
        <v>36</v>
      </c>
      <c r="T973" t="str">
        <f t="shared" si="158"/>
        <v>85014</v>
      </c>
      <c r="U973" t="str">
        <f>"4142"</f>
        <v>4142</v>
      </c>
      <c r="V973" t="s">
        <v>3507</v>
      </c>
      <c r="X973" t="s">
        <v>964</v>
      </c>
      <c r="Y973" t="s">
        <v>36</v>
      </c>
      <c r="Z973" t="str">
        <f>"85014"</f>
        <v>85014</v>
      </c>
      <c r="AA973" t="str">
        <f>"4142"</f>
        <v>4142</v>
      </c>
      <c r="AB973" t="s">
        <v>265</v>
      </c>
    </row>
    <row r="974" spans="1:28" x14ac:dyDescent="0.25">
      <c r="A974">
        <v>4286</v>
      </c>
      <c r="B974" t="str">
        <f t="shared" si="157"/>
        <v>070510000</v>
      </c>
      <c r="C974" t="s">
        <v>3473</v>
      </c>
      <c r="D974">
        <v>5443</v>
      </c>
      <c r="E974" t="str">
        <f>"070510260"</f>
        <v>070510260</v>
      </c>
      <c r="F974" t="s">
        <v>3508</v>
      </c>
      <c r="G974" t="s">
        <v>42</v>
      </c>
      <c r="H974" t="s">
        <v>1610</v>
      </c>
      <c r="I974" t="s">
        <v>3509</v>
      </c>
      <c r="J974" t="s">
        <v>315</v>
      </c>
      <c r="K974" t="str">
        <f>"6027645185"</f>
        <v>6027645185</v>
      </c>
      <c r="L974" t="str">
        <f>""</f>
        <v/>
      </c>
      <c r="M974" t="str">
        <f>"6022298399"</f>
        <v>6022298399</v>
      </c>
      <c r="N974" t="str">
        <f>""</f>
        <v/>
      </c>
      <c r="O974" t="s">
        <v>3510</v>
      </c>
      <c r="P974" t="s">
        <v>3482</v>
      </c>
      <c r="R974" t="s">
        <v>964</v>
      </c>
      <c r="S974" t="s">
        <v>36</v>
      </c>
      <c r="T974" t="str">
        <f t="shared" si="158"/>
        <v>85014</v>
      </c>
      <c r="U974" t="str">
        <f>"4142"</f>
        <v>4142</v>
      </c>
      <c r="V974" t="s">
        <v>3511</v>
      </c>
      <c r="X974" t="s">
        <v>964</v>
      </c>
      <c r="Y974" t="s">
        <v>36</v>
      </c>
      <c r="Z974" t="str">
        <f>"85040"</f>
        <v>85040</v>
      </c>
      <c r="AA974" t="str">
        <f>""</f>
        <v/>
      </c>
      <c r="AB974" t="s">
        <v>265</v>
      </c>
    </row>
    <row r="975" spans="1:28" x14ac:dyDescent="0.25">
      <c r="A975">
        <v>4286</v>
      </c>
      <c r="B975" t="str">
        <f t="shared" si="157"/>
        <v>070510000</v>
      </c>
      <c r="C975" t="s">
        <v>3473</v>
      </c>
      <c r="D975">
        <v>6248</v>
      </c>
      <c r="E975" t="str">
        <f>"070510212"</f>
        <v>070510212</v>
      </c>
      <c r="F975" t="s">
        <v>3512</v>
      </c>
      <c r="G975" t="s">
        <v>42</v>
      </c>
      <c r="H975" t="s">
        <v>2908</v>
      </c>
      <c r="I975" t="s">
        <v>3513</v>
      </c>
      <c r="J975" t="s">
        <v>3514</v>
      </c>
      <c r="K975" t="str">
        <f>"6027648199"</f>
        <v>6027648199</v>
      </c>
      <c r="L975" t="str">
        <f>""</f>
        <v/>
      </c>
      <c r="M975" t="str">
        <f>"6022298397"</f>
        <v>6022298397</v>
      </c>
      <c r="N975" t="str">
        <f>""</f>
        <v/>
      </c>
      <c r="O975" t="s">
        <v>3515</v>
      </c>
      <c r="P975" t="s">
        <v>3482</v>
      </c>
      <c r="R975" t="s">
        <v>964</v>
      </c>
      <c r="S975" t="s">
        <v>36</v>
      </c>
      <c r="T975" t="str">
        <f t="shared" si="158"/>
        <v>85014</v>
      </c>
      <c r="U975" t="str">
        <f>"4142"</f>
        <v>4142</v>
      </c>
      <c r="V975" t="s">
        <v>3516</v>
      </c>
      <c r="X975" t="s">
        <v>964</v>
      </c>
      <c r="Y975" t="s">
        <v>36</v>
      </c>
      <c r="Z975" t="str">
        <f>"85015"</f>
        <v>85015</v>
      </c>
      <c r="AA975" t="str">
        <f>""</f>
        <v/>
      </c>
      <c r="AB975" t="s">
        <v>265</v>
      </c>
    </row>
    <row r="976" spans="1:28" x14ac:dyDescent="0.25">
      <c r="A976">
        <v>4286</v>
      </c>
      <c r="B976" t="str">
        <f t="shared" si="157"/>
        <v>070510000</v>
      </c>
      <c r="C976" t="s">
        <v>3473</v>
      </c>
      <c r="D976">
        <v>6249</v>
      </c>
      <c r="E976" t="str">
        <f>"070510214"</f>
        <v>070510214</v>
      </c>
      <c r="F976" t="s">
        <v>3517</v>
      </c>
      <c r="G976" t="s">
        <v>42</v>
      </c>
      <c r="H976" t="s">
        <v>3518</v>
      </c>
      <c r="I976" t="s">
        <v>771</v>
      </c>
      <c r="J976" t="s">
        <v>315</v>
      </c>
      <c r="K976" t="str">
        <f>"6027641720"</f>
        <v>6027641720</v>
      </c>
      <c r="L976" t="str">
        <f>""</f>
        <v/>
      </c>
      <c r="M976" t="str">
        <f>"6022298390"</f>
        <v>6022298390</v>
      </c>
      <c r="N976" t="str">
        <f>""</f>
        <v/>
      </c>
      <c r="O976" t="s">
        <v>3519</v>
      </c>
      <c r="P976" t="s">
        <v>3482</v>
      </c>
      <c r="R976" t="s">
        <v>3520</v>
      </c>
      <c r="S976" t="s">
        <v>36</v>
      </c>
      <c r="T976" t="str">
        <f t="shared" si="158"/>
        <v>85014</v>
      </c>
      <c r="U976" t="str">
        <f>""</f>
        <v/>
      </c>
      <c r="V976" t="s">
        <v>3521</v>
      </c>
      <c r="X976" t="s">
        <v>964</v>
      </c>
      <c r="Y976" t="s">
        <v>36</v>
      </c>
      <c r="Z976" t="str">
        <f>"85017"</f>
        <v>85017</v>
      </c>
      <c r="AA976" t="str">
        <f>""</f>
        <v/>
      </c>
      <c r="AB976" t="s">
        <v>265</v>
      </c>
    </row>
    <row r="977" spans="1:28" x14ac:dyDescent="0.25">
      <c r="A977">
        <v>4286</v>
      </c>
      <c r="B977" t="str">
        <f t="shared" si="157"/>
        <v>070510000</v>
      </c>
      <c r="C977" t="s">
        <v>3473</v>
      </c>
      <c r="D977">
        <v>78847</v>
      </c>
      <c r="E977" t="str">
        <f>"070510270"</f>
        <v>070510270</v>
      </c>
      <c r="F977" t="s">
        <v>3522</v>
      </c>
      <c r="G977" t="s">
        <v>42</v>
      </c>
      <c r="H977" t="s">
        <v>1688</v>
      </c>
      <c r="I977" t="s">
        <v>3523</v>
      </c>
      <c r="J977" t="s">
        <v>315</v>
      </c>
      <c r="K977" t="str">
        <f>"6027644076"</f>
        <v>6027644076</v>
      </c>
      <c r="L977" t="str">
        <f>""</f>
        <v/>
      </c>
      <c r="M977" t="str">
        <f>"6027644421"</f>
        <v>6027644421</v>
      </c>
      <c r="N977" t="str">
        <f>""</f>
        <v/>
      </c>
      <c r="O977" t="s">
        <v>3524</v>
      </c>
      <c r="P977" t="s">
        <v>3482</v>
      </c>
      <c r="R977" t="s">
        <v>964</v>
      </c>
      <c r="S977" t="s">
        <v>36</v>
      </c>
      <c r="T977" t="str">
        <f t="shared" si="158"/>
        <v>85014</v>
      </c>
      <c r="U977" t="str">
        <f>""</f>
        <v/>
      </c>
      <c r="V977" t="s">
        <v>3525</v>
      </c>
      <c r="X977" t="s">
        <v>2997</v>
      </c>
      <c r="Y977" t="s">
        <v>36</v>
      </c>
      <c r="Z977" t="str">
        <f>"85339"</f>
        <v>85339</v>
      </c>
      <c r="AA977" t="str">
        <f>"1801"</f>
        <v>1801</v>
      </c>
      <c r="AB977" t="s">
        <v>265</v>
      </c>
    </row>
    <row r="978" spans="1:28" x14ac:dyDescent="0.25">
      <c r="A978">
        <v>4286</v>
      </c>
      <c r="B978" t="str">
        <f t="shared" si="157"/>
        <v>070510000</v>
      </c>
      <c r="C978" t="s">
        <v>3473</v>
      </c>
      <c r="D978">
        <v>79617</v>
      </c>
      <c r="E978" t="str">
        <f>"070510280"</f>
        <v>070510280</v>
      </c>
      <c r="F978" t="s">
        <v>3526</v>
      </c>
      <c r="G978" t="s">
        <v>42</v>
      </c>
      <c r="H978" t="s">
        <v>3527</v>
      </c>
      <c r="I978" t="s">
        <v>925</v>
      </c>
      <c r="J978" t="s">
        <v>3528</v>
      </c>
      <c r="K978" t="str">
        <f>"6027640050"</f>
        <v>6027640050</v>
      </c>
      <c r="L978" t="str">
        <f>""</f>
        <v/>
      </c>
      <c r="M978" t="str">
        <f>"6027441221"</f>
        <v>6027441221</v>
      </c>
      <c r="N978" t="str">
        <f>""</f>
        <v/>
      </c>
      <c r="O978" t="s">
        <v>3529</v>
      </c>
      <c r="P978" t="s">
        <v>3482</v>
      </c>
      <c r="R978" t="s">
        <v>964</v>
      </c>
      <c r="S978" t="s">
        <v>36</v>
      </c>
      <c r="T978" t="str">
        <f t="shared" si="158"/>
        <v>85014</v>
      </c>
      <c r="U978" t="str">
        <f>"4142"</f>
        <v>4142</v>
      </c>
      <c r="V978" t="s">
        <v>3530</v>
      </c>
      <c r="X978" t="s">
        <v>964</v>
      </c>
      <c r="Y978" t="s">
        <v>36</v>
      </c>
      <c r="Z978" t="str">
        <f>"85015"</f>
        <v>85015</v>
      </c>
      <c r="AA978" t="str">
        <f>""</f>
        <v/>
      </c>
      <c r="AB978" t="s">
        <v>265</v>
      </c>
    </row>
    <row r="979" spans="1:28" x14ac:dyDescent="0.25">
      <c r="A979">
        <v>4286</v>
      </c>
      <c r="B979" t="str">
        <f t="shared" si="157"/>
        <v>070510000</v>
      </c>
      <c r="C979" t="s">
        <v>3473</v>
      </c>
      <c r="D979">
        <v>88407</v>
      </c>
      <c r="E979" t="str">
        <f>"070510284"</f>
        <v>070510284</v>
      </c>
      <c r="F979" t="s">
        <v>3531</v>
      </c>
      <c r="G979" t="s">
        <v>42</v>
      </c>
      <c r="H979" t="s">
        <v>398</v>
      </c>
      <c r="I979" t="s">
        <v>3532</v>
      </c>
      <c r="J979" t="s">
        <v>3528</v>
      </c>
      <c r="K979" t="str">
        <f>"6027645607"</f>
        <v>6027645607</v>
      </c>
      <c r="L979" t="str">
        <f>""</f>
        <v/>
      </c>
      <c r="M979" t="str">
        <f>"6027645699"</f>
        <v>6027645699</v>
      </c>
      <c r="N979" t="str">
        <f>""</f>
        <v/>
      </c>
      <c r="O979" t="s">
        <v>3533</v>
      </c>
      <c r="P979" t="s">
        <v>3482</v>
      </c>
      <c r="R979" t="s">
        <v>964</v>
      </c>
      <c r="S979" t="s">
        <v>36</v>
      </c>
      <c r="T979" t="str">
        <f t="shared" si="158"/>
        <v>85014</v>
      </c>
      <c r="U979" t="str">
        <f>""</f>
        <v/>
      </c>
      <c r="V979" t="s">
        <v>3534</v>
      </c>
      <c r="X979" t="s">
        <v>964</v>
      </c>
      <c r="Y979" t="s">
        <v>36</v>
      </c>
      <c r="Z979" t="str">
        <f>"85004"</f>
        <v>85004</v>
      </c>
      <c r="AA979" t="str">
        <f>""</f>
        <v/>
      </c>
      <c r="AB979" t="s">
        <v>265</v>
      </c>
    </row>
    <row r="980" spans="1:28" x14ac:dyDescent="0.25">
      <c r="A980">
        <v>4286</v>
      </c>
      <c r="B980" t="str">
        <f t="shared" si="157"/>
        <v>070510000</v>
      </c>
      <c r="C980" t="s">
        <v>3473</v>
      </c>
      <c r="D980">
        <v>89571</v>
      </c>
      <c r="E980" t="str">
        <f>"070510290"</f>
        <v>070510290</v>
      </c>
      <c r="F980" t="s">
        <v>3535</v>
      </c>
      <c r="G980" t="s">
        <v>42</v>
      </c>
      <c r="H980" t="s">
        <v>3536</v>
      </c>
      <c r="I980" t="s">
        <v>3537</v>
      </c>
      <c r="J980" t="s">
        <v>315</v>
      </c>
      <c r="K980" t="str">
        <f>"6027649075"</f>
        <v>6027649075</v>
      </c>
      <c r="L980" t="str">
        <f>""</f>
        <v/>
      </c>
      <c r="M980" t="str">
        <f>"6027649105"</f>
        <v>6027649105</v>
      </c>
      <c r="N980" t="str">
        <f>""</f>
        <v/>
      </c>
      <c r="O980" t="s">
        <v>3538</v>
      </c>
      <c r="P980" t="s">
        <v>3539</v>
      </c>
      <c r="R980" t="s">
        <v>964</v>
      </c>
      <c r="S980" t="s">
        <v>36</v>
      </c>
      <c r="T980" t="str">
        <f t="shared" si="158"/>
        <v>85014</v>
      </c>
      <c r="U980" t="str">
        <f>""</f>
        <v/>
      </c>
      <c r="V980" t="s">
        <v>3540</v>
      </c>
      <c r="X980" t="s">
        <v>2997</v>
      </c>
      <c r="Y980" t="s">
        <v>36</v>
      </c>
      <c r="Z980" t="str">
        <f>"85339"</f>
        <v>85339</v>
      </c>
      <c r="AA980" t="str">
        <f>""</f>
        <v/>
      </c>
      <c r="AB980" t="s">
        <v>265</v>
      </c>
    </row>
    <row r="981" spans="1:28" x14ac:dyDescent="0.25">
      <c r="A981">
        <v>4286</v>
      </c>
      <c r="B981" t="str">
        <f t="shared" si="157"/>
        <v>070510000</v>
      </c>
      <c r="C981" t="s">
        <v>3473</v>
      </c>
      <c r="D981">
        <v>89778</v>
      </c>
      <c r="E981" t="str">
        <f>"070510281"</f>
        <v>070510281</v>
      </c>
      <c r="F981" t="s">
        <v>3541</v>
      </c>
      <c r="G981" t="s">
        <v>42</v>
      </c>
      <c r="H981" t="s">
        <v>3542</v>
      </c>
      <c r="I981" t="s">
        <v>3543</v>
      </c>
      <c r="J981" t="s">
        <v>3528</v>
      </c>
      <c r="K981" t="str">
        <f>"6027647904"</f>
        <v>6027647904</v>
      </c>
      <c r="L981" t="str">
        <f>""</f>
        <v/>
      </c>
      <c r="M981" t="str">
        <f>"6022582868"</f>
        <v>6022582868</v>
      </c>
      <c r="N981" t="str">
        <f>""</f>
        <v/>
      </c>
      <c r="O981" t="s">
        <v>3544</v>
      </c>
      <c r="P981" t="s">
        <v>3482</v>
      </c>
      <c r="R981" t="s">
        <v>964</v>
      </c>
      <c r="S981" t="s">
        <v>36</v>
      </c>
      <c r="T981" t="str">
        <f t="shared" si="158"/>
        <v>85014</v>
      </c>
      <c r="U981" t="str">
        <f>""</f>
        <v/>
      </c>
      <c r="V981" t="s">
        <v>3545</v>
      </c>
      <c r="X981" t="s">
        <v>964</v>
      </c>
      <c r="Y981" t="s">
        <v>36</v>
      </c>
      <c r="Z981" t="str">
        <f>"85007"</f>
        <v>85007</v>
      </c>
      <c r="AA981" t="str">
        <f>""</f>
        <v/>
      </c>
      <c r="AB981" t="s">
        <v>265</v>
      </c>
    </row>
    <row r="982" spans="1:28" x14ac:dyDescent="0.25">
      <c r="A982">
        <v>4286</v>
      </c>
      <c r="B982" t="str">
        <f t="shared" si="157"/>
        <v>070510000</v>
      </c>
      <c r="C982" t="s">
        <v>3473</v>
      </c>
      <c r="D982">
        <v>128903</v>
      </c>
      <c r="E982" t="str">
        <f>"070510011"</f>
        <v>070510011</v>
      </c>
      <c r="F982" t="s">
        <v>3546</v>
      </c>
      <c r="G982" t="s">
        <v>42</v>
      </c>
      <c r="H982" t="s">
        <v>3547</v>
      </c>
      <c r="I982" t="s">
        <v>3548</v>
      </c>
      <c r="J982" t="s">
        <v>3549</v>
      </c>
      <c r="K982" t="str">
        <f>"6027649600"</f>
        <v>6027649600</v>
      </c>
      <c r="L982" t="str">
        <f>""</f>
        <v/>
      </c>
      <c r="M982" t="str">
        <f>""</f>
        <v/>
      </c>
      <c r="N982" t="str">
        <f>""</f>
        <v/>
      </c>
      <c r="O982" t="s">
        <v>3550</v>
      </c>
      <c r="P982" t="s">
        <v>3551</v>
      </c>
      <c r="R982" t="s">
        <v>964</v>
      </c>
      <c r="S982" t="s">
        <v>36</v>
      </c>
      <c r="T982" t="str">
        <f>"85008"</f>
        <v>85008</v>
      </c>
      <c r="U982" t="str">
        <f>""</f>
        <v/>
      </c>
      <c r="V982" t="s">
        <v>3551</v>
      </c>
      <c r="X982" t="s">
        <v>964</v>
      </c>
      <c r="Y982" t="s">
        <v>36</v>
      </c>
      <c r="Z982" t="str">
        <f>"85008"</f>
        <v>85008</v>
      </c>
      <c r="AA982" t="str">
        <f>""</f>
        <v/>
      </c>
      <c r="AB982" t="s">
        <v>265</v>
      </c>
    </row>
    <row r="983" spans="1:28" x14ac:dyDescent="0.25">
      <c r="A983">
        <v>4286</v>
      </c>
      <c r="B983" t="str">
        <f t="shared" si="157"/>
        <v>070510000</v>
      </c>
      <c r="C983" t="s">
        <v>3473</v>
      </c>
      <c r="D983">
        <v>221992</v>
      </c>
      <c r="E983" t="str">
        <f>"070510283"</f>
        <v>070510283</v>
      </c>
      <c r="F983" t="s">
        <v>3552</v>
      </c>
      <c r="G983" t="s">
        <v>42</v>
      </c>
      <c r="H983" t="s">
        <v>3479</v>
      </c>
      <c r="I983" t="s">
        <v>3480</v>
      </c>
      <c r="J983" t="s">
        <v>315</v>
      </c>
      <c r="K983" t="str">
        <f>"6027645700"</f>
        <v>6027645700</v>
      </c>
      <c r="L983" t="str">
        <f>""</f>
        <v/>
      </c>
      <c r="M983" t="str">
        <f>""</f>
        <v/>
      </c>
      <c r="N983" t="str">
        <f>""</f>
        <v/>
      </c>
      <c r="O983" t="s">
        <v>3553</v>
      </c>
      <c r="P983" t="s">
        <v>3554</v>
      </c>
      <c r="R983" t="s">
        <v>964</v>
      </c>
      <c r="S983" t="s">
        <v>36</v>
      </c>
      <c r="T983" t="str">
        <f>"85012"</f>
        <v>85012</v>
      </c>
      <c r="U983" t="str">
        <f>""</f>
        <v/>
      </c>
      <c r="V983" t="s">
        <v>3554</v>
      </c>
      <c r="X983" t="s">
        <v>964</v>
      </c>
      <c r="Y983" t="s">
        <v>36</v>
      </c>
      <c r="Z983" t="str">
        <f>"85012"</f>
        <v>85012</v>
      </c>
      <c r="AA983" t="str">
        <f>""</f>
        <v/>
      </c>
      <c r="AB983" t="s">
        <v>265</v>
      </c>
    </row>
    <row r="984" spans="1:28" x14ac:dyDescent="0.25">
      <c r="A984">
        <v>4287</v>
      </c>
      <c r="B984" t="str">
        <f t="shared" ref="B984:B992" si="159">"070513000"</f>
        <v>070513000</v>
      </c>
      <c r="C984" t="s">
        <v>3555</v>
      </c>
      <c r="D984">
        <v>0</v>
      </c>
      <c r="E984" t="str">
        <f>""</f>
        <v/>
      </c>
      <c r="G984" t="s">
        <v>29</v>
      </c>
      <c r="H984" t="s">
        <v>1318</v>
      </c>
      <c r="I984" t="s">
        <v>3556</v>
      </c>
      <c r="J984" t="s">
        <v>1162</v>
      </c>
      <c r="K984" t="str">
        <f>"4803453724"</f>
        <v>4803453724</v>
      </c>
      <c r="L984" t="str">
        <f>""</f>
        <v/>
      </c>
      <c r="M984" t="str">
        <f>"4803453441"</f>
        <v>4803453441</v>
      </c>
      <c r="N984" t="str">
        <f>""</f>
        <v/>
      </c>
      <c r="O984" t="s">
        <v>3557</v>
      </c>
      <c r="P984" t="s">
        <v>3558</v>
      </c>
      <c r="R984" t="s">
        <v>967</v>
      </c>
      <c r="S984" t="s">
        <v>36</v>
      </c>
      <c r="T984" t="str">
        <f>"85283"</f>
        <v>85283</v>
      </c>
      <c r="U984" t="str">
        <f>""</f>
        <v/>
      </c>
      <c r="V984" t="s">
        <v>3558</v>
      </c>
      <c r="X984" t="s">
        <v>967</v>
      </c>
      <c r="Y984" t="s">
        <v>36</v>
      </c>
      <c r="Z984" t="str">
        <f>"85283"</f>
        <v>85283</v>
      </c>
      <c r="AA984" t="str">
        <f>""</f>
        <v/>
      </c>
      <c r="AB984" t="s">
        <v>265</v>
      </c>
    </row>
    <row r="985" spans="1:28" x14ac:dyDescent="0.25">
      <c r="A985">
        <v>4287</v>
      </c>
      <c r="B985" t="str">
        <f t="shared" si="159"/>
        <v>070513000</v>
      </c>
      <c r="C985" t="s">
        <v>3555</v>
      </c>
      <c r="D985">
        <v>5444</v>
      </c>
      <c r="E985" t="str">
        <f>"070513091"</f>
        <v>070513091</v>
      </c>
      <c r="F985" t="s">
        <v>3559</v>
      </c>
      <c r="G985" t="s">
        <v>42</v>
      </c>
      <c r="H985" t="s">
        <v>3560</v>
      </c>
      <c r="I985" t="s">
        <v>3561</v>
      </c>
      <c r="J985" t="s">
        <v>315</v>
      </c>
      <c r="K985" t="str">
        <f>"4809671661"</f>
        <v>4809671661</v>
      </c>
      <c r="L985" t="str">
        <f>""</f>
        <v/>
      </c>
      <c r="M985" t="str">
        <f>""</f>
        <v/>
      </c>
      <c r="N985" t="str">
        <f>""</f>
        <v/>
      </c>
      <c r="O985" t="s">
        <v>3562</v>
      </c>
      <c r="P985" t="s">
        <v>3563</v>
      </c>
      <c r="R985" t="s">
        <v>967</v>
      </c>
      <c r="S985" t="s">
        <v>36</v>
      </c>
      <c r="T985" t="str">
        <f>"85281"</f>
        <v>85281</v>
      </c>
      <c r="U985" t="str">
        <f>""</f>
        <v/>
      </c>
      <c r="V985" t="s">
        <v>3563</v>
      </c>
      <c r="X985" t="s">
        <v>967</v>
      </c>
      <c r="Y985" t="s">
        <v>36</v>
      </c>
      <c r="Z985" t="str">
        <f>"85281"</f>
        <v>85281</v>
      </c>
      <c r="AA985" t="str">
        <f>""</f>
        <v/>
      </c>
      <c r="AB985" t="s">
        <v>265</v>
      </c>
    </row>
    <row r="986" spans="1:28" x14ac:dyDescent="0.25">
      <c r="A986">
        <v>4287</v>
      </c>
      <c r="B986" t="str">
        <f t="shared" si="159"/>
        <v>070513000</v>
      </c>
      <c r="C986" t="s">
        <v>3555</v>
      </c>
      <c r="D986">
        <v>5445</v>
      </c>
      <c r="E986" t="str">
        <f>"070513092"</f>
        <v>070513092</v>
      </c>
      <c r="F986" t="s">
        <v>3564</v>
      </c>
      <c r="G986" t="s">
        <v>42</v>
      </c>
      <c r="H986" t="s">
        <v>3485</v>
      </c>
      <c r="I986" t="s">
        <v>1902</v>
      </c>
      <c r="J986" t="s">
        <v>315</v>
      </c>
      <c r="K986" t="str">
        <f>"4807528640"</f>
        <v>4807528640</v>
      </c>
      <c r="L986" t="str">
        <f>""</f>
        <v/>
      </c>
      <c r="M986" t="str">
        <f>""</f>
        <v/>
      </c>
      <c r="N986" t="str">
        <f>""</f>
        <v/>
      </c>
      <c r="O986" t="s">
        <v>3565</v>
      </c>
      <c r="P986" t="s">
        <v>3566</v>
      </c>
      <c r="R986" t="s">
        <v>967</v>
      </c>
      <c r="S986" t="s">
        <v>36</v>
      </c>
      <c r="T986" t="str">
        <f>"85282"</f>
        <v>85282</v>
      </c>
      <c r="U986" t="str">
        <f>""</f>
        <v/>
      </c>
      <c r="V986" t="s">
        <v>3566</v>
      </c>
      <c r="X986" t="s">
        <v>967</v>
      </c>
      <c r="Y986" t="s">
        <v>36</v>
      </c>
      <c r="Z986" t="str">
        <f>"85282"</f>
        <v>85282</v>
      </c>
      <c r="AA986" t="str">
        <f>""</f>
        <v/>
      </c>
      <c r="AB986" t="s">
        <v>265</v>
      </c>
    </row>
    <row r="987" spans="1:28" x14ac:dyDescent="0.25">
      <c r="A987">
        <v>4287</v>
      </c>
      <c r="B987" t="str">
        <f t="shared" si="159"/>
        <v>070513000</v>
      </c>
      <c r="C987" t="s">
        <v>3555</v>
      </c>
      <c r="D987">
        <v>5446</v>
      </c>
      <c r="E987" t="str">
        <f>"070513093"</f>
        <v>070513093</v>
      </c>
      <c r="F987" t="s">
        <v>3567</v>
      </c>
      <c r="G987" t="s">
        <v>42</v>
      </c>
      <c r="H987" t="s">
        <v>3568</v>
      </c>
      <c r="I987" t="s">
        <v>3569</v>
      </c>
      <c r="J987" t="s">
        <v>315</v>
      </c>
      <c r="K987" t="str">
        <f>"4807307644"</f>
        <v>4807307644</v>
      </c>
      <c r="L987" t="str">
        <f>""</f>
        <v/>
      </c>
      <c r="M987" t="str">
        <f>""</f>
        <v/>
      </c>
      <c r="N987" t="str">
        <f>""</f>
        <v/>
      </c>
      <c r="O987" t="s">
        <v>3570</v>
      </c>
      <c r="P987" t="s">
        <v>3571</v>
      </c>
      <c r="R987" t="s">
        <v>967</v>
      </c>
      <c r="S987" t="s">
        <v>36</v>
      </c>
      <c r="T987" t="str">
        <f t="shared" ref="T987:T992" si="160">"85283"</f>
        <v>85283</v>
      </c>
      <c r="U987" t="str">
        <f>""</f>
        <v/>
      </c>
      <c r="V987" t="s">
        <v>3571</v>
      </c>
      <c r="X987" t="s">
        <v>967</v>
      </c>
      <c r="Y987" t="s">
        <v>36</v>
      </c>
      <c r="Z987" t="str">
        <f>"85283"</f>
        <v>85283</v>
      </c>
      <c r="AA987" t="str">
        <f>""</f>
        <v/>
      </c>
      <c r="AB987" t="s">
        <v>265</v>
      </c>
    </row>
    <row r="988" spans="1:28" x14ac:dyDescent="0.25">
      <c r="A988">
        <v>4287</v>
      </c>
      <c r="B988" t="str">
        <f t="shared" si="159"/>
        <v>070513000</v>
      </c>
      <c r="C988" t="s">
        <v>3555</v>
      </c>
      <c r="D988">
        <v>5447</v>
      </c>
      <c r="E988" t="str">
        <f>"070513094"</f>
        <v>070513094</v>
      </c>
      <c r="F988" t="s">
        <v>3572</v>
      </c>
      <c r="G988" t="s">
        <v>42</v>
      </c>
      <c r="H988" t="s">
        <v>3573</v>
      </c>
      <c r="I988" t="s">
        <v>3013</v>
      </c>
      <c r="J988" t="s">
        <v>315</v>
      </c>
      <c r="K988" t="str">
        <f>"4807528850"</f>
        <v>4807528850</v>
      </c>
      <c r="L988" t="str">
        <f>""</f>
        <v/>
      </c>
      <c r="M988" t="str">
        <f>"4803453797"</f>
        <v>4803453797</v>
      </c>
      <c r="N988" t="str">
        <f>""</f>
        <v/>
      </c>
      <c r="O988" t="s">
        <v>3574</v>
      </c>
      <c r="P988" t="s">
        <v>3575</v>
      </c>
      <c r="R988" t="s">
        <v>967</v>
      </c>
      <c r="S988" t="s">
        <v>36</v>
      </c>
      <c r="T988" t="str">
        <f t="shared" si="160"/>
        <v>85283</v>
      </c>
      <c r="U988" t="str">
        <f>""</f>
        <v/>
      </c>
      <c r="V988" t="s">
        <v>3576</v>
      </c>
      <c r="X988" t="s">
        <v>967</v>
      </c>
      <c r="Y988" t="s">
        <v>36</v>
      </c>
      <c r="Z988" t="str">
        <f>"85284"</f>
        <v>85284</v>
      </c>
      <c r="AA988" t="str">
        <f>""</f>
        <v/>
      </c>
      <c r="AB988" t="s">
        <v>265</v>
      </c>
    </row>
    <row r="989" spans="1:28" x14ac:dyDescent="0.25">
      <c r="A989">
        <v>4287</v>
      </c>
      <c r="B989" t="str">
        <f t="shared" si="159"/>
        <v>070513000</v>
      </c>
      <c r="C989" t="s">
        <v>3555</v>
      </c>
      <c r="D989">
        <v>5448</v>
      </c>
      <c r="E989" t="str">
        <f>"070513095"</f>
        <v>070513095</v>
      </c>
      <c r="F989" t="s">
        <v>3577</v>
      </c>
      <c r="G989" t="s">
        <v>42</v>
      </c>
      <c r="H989" t="s">
        <v>3578</v>
      </c>
      <c r="I989" t="s">
        <v>771</v>
      </c>
      <c r="J989" t="s">
        <v>315</v>
      </c>
      <c r="K989" t="str">
        <f>"4807596107"</f>
        <v>4807596107</v>
      </c>
      <c r="L989" t="str">
        <f>""</f>
        <v/>
      </c>
      <c r="M989" t="str">
        <f>"4803453797"</f>
        <v>4803453797</v>
      </c>
      <c r="N989" t="str">
        <f>""</f>
        <v/>
      </c>
      <c r="O989" t="s">
        <v>3579</v>
      </c>
      <c r="P989" t="s">
        <v>3575</v>
      </c>
      <c r="R989" t="s">
        <v>967</v>
      </c>
      <c r="S989" t="s">
        <v>36</v>
      </c>
      <c r="T989" t="str">
        <f t="shared" si="160"/>
        <v>85283</v>
      </c>
      <c r="U989" t="str">
        <f>""</f>
        <v/>
      </c>
      <c r="V989" t="s">
        <v>3580</v>
      </c>
      <c r="X989" t="s">
        <v>964</v>
      </c>
      <c r="Y989" t="s">
        <v>36</v>
      </c>
      <c r="Z989" t="str">
        <f>"85044"</f>
        <v>85044</v>
      </c>
      <c r="AA989" t="str">
        <f>""</f>
        <v/>
      </c>
      <c r="AB989" t="s">
        <v>265</v>
      </c>
    </row>
    <row r="990" spans="1:28" x14ac:dyDescent="0.25">
      <c r="A990">
        <v>4287</v>
      </c>
      <c r="B990" t="str">
        <f t="shared" si="159"/>
        <v>070513000</v>
      </c>
      <c r="C990" t="s">
        <v>3555</v>
      </c>
      <c r="D990">
        <v>5449</v>
      </c>
      <c r="E990" t="str">
        <f>"070513096"</f>
        <v>070513096</v>
      </c>
      <c r="F990" t="s">
        <v>3581</v>
      </c>
      <c r="G990" t="s">
        <v>42</v>
      </c>
      <c r="H990" t="s">
        <v>447</v>
      </c>
      <c r="I990" t="s">
        <v>3582</v>
      </c>
      <c r="J990" t="s">
        <v>315</v>
      </c>
      <c r="K990" t="str">
        <f>"4807067920"</f>
        <v>4807067920</v>
      </c>
      <c r="L990" t="str">
        <f>""</f>
        <v/>
      </c>
      <c r="M990" t="str">
        <f>"4803453797"</f>
        <v>4803453797</v>
      </c>
      <c r="N990" t="str">
        <f>""</f>
        <v/>
      </c>
      <c r="O990" t="s">
        <v>3583</v>
      </c>
      <c r="P990" t="s">
        <v>3575</v>
      </c>
      <c r="R990" t="s">
        <v>967</v>
      </c>
      <c r="S990" t="s">
        <v>36</v>
      </c>
      <c r="T990" t="str">
        <f t="shared" si="160"/>
        <v>85283</v>
      </c>
      <c r="U990" t="str">
        <f>""</f>
        <v/>
      </c>
      <c r="V990" t="s">
        <v>3584</v>
      </c>
      <c r="X990" t="s">
        <v>964</v>
      </c>
      <c r="Y990" t="s">
        <v>36</v>
      </c>
      <c r="Z990" t="str">
        <f>"85048"</f>
        <v>85048</v>
      </c>
      <c r="AA990" t="str">
        <f>""</f>
        <v/>
      </c>
      <c r="AB990" t="s">
        <v>265</v>
      </c>
    </row>
    <row r="991" spans="1:28" x14ac:dyDescent="0.25">
      <c r="A991">
        <v>4287</v>
      </c>
      <c r="B991" t="str">
        <f t="shared" si="159"/>
        <v>070513000</v>
      </c>
      <c r="C991" t="s">
        <v>3555</v>
      </c>
      <c r="D991">
        <v>5450</v>
      </c>
      <c r="E991" t="str">
        <f>"070513097"</f>
        <v>070513097</v>
      </c>
      <c r="F991" t="s">
        <v>3585</v>
      </c>
      <c r="G991" t="s">
        <v>42</v>
      </c>
      <c r="H991" t="s">
        <v>2308</v>
      </c>
      <c r="I991" t="s">
        <v>3586</v>
      </c>
      <c r="J991" t="s">
        <v>3587</v>
      </c>
      <c r="K991" t="str">
        <f>"4803453700"</f>
        <v>4803453700</v>
      </c>
      <c r="L991" t="str">
        <f>""</f>
        <v/>
      </c>
      <c r="M991" t="str">
        <f>""</f>
        <v/>
      </c>
      <c r="N991" t="str">
        <f>""</f>
        <v/>
      </c>
      <c r="O991" t="s">
        <v>3588</v>
      </c>
      <c r="P991" t="s">
        <v>3575</v>
      </c>
      <c r="R991" t="s">
        <v>967</v>
      </c>
      <c r="S991" t="s">
        <v>36</v>
      </c>
      <c r="T991" t="str">
        <f t="shared" si="160"/>
        <v>85283</v>
      </c>
      <c r="U991" t="str">
        <f>""</f>
        <v/>
      </c>
      <c r="V991" t="s">
        <v>3575</v>
      </c>
      <c r="X991" t="s">
        <v>967</v>
      </c>
      <c r="Y991" t="s">
        <v>36</v>
      </c>
      <c r="Z991" t="str">
        <f>"85283"</f>
        <v>85283</v>
      </c>
      <c r="AA991" t="str">
        <f>""</f>
        <v/>
      </c>
      <c r="AB991" t="s">
        <v>265</v>
      </c>
    </row>
    <row r="992" spans="1:28" x14ac:dyDescent="0.25">
      <c r="A992">
        <v>4287</v>
      </c>
      <c r="B992" t="str">
        <f t="shared" si="159"/>
        <v>070513000</v>
      </c>
      <c r="C992" t="s">
        <v>3555</v>
      </c>
      <c r="D992">
        <v>338609</v>
      </c>
      <c r="E992" t="str">
        <f>"078285001"</f>
        <v>078285001</v>
      </c>
      <c r="F992" t="s">
        <v>3589</v>
      </c>
      <c r="G992" t="s">
        <v>42</v>
      </c>
      <c r="H992" t="s">
        <v>2308</v>
      </c>
      <c r="I992" t="s">
        <v>3586</v>
      </c>
      <c r="J992" t="s">
        <v>315</v>
      </c>
      <c r="K992" t="str">
        <f>"4807523579"</f>
        <v>4807523579</v>
      </c>
      <c r="L992" t="str">
        <f>""</f>
        <v/>
      </c>
      <c r="M992" t="str">
        <f>"4802853252"</f>
        <v>4802853252</v>
      </c>
      <c r="N992" t="str">
        <f>""</f>
        <v/>
      </c>
      <c r="O992" t="s">
        <v>3588</v>
      </c>
      <c r="P992" t="s">
        <v>3590</v>
      </c>
      <c r="R992" t="s">
        <v>967</v>
      </c>
      <c r="S992" t="s">
        <v>36</v>
      </c>
      <c r="T992" t="str">
        <f t="shared" si="160"/>
        <v>85283</v>
      </c>
      <c r="U992" t="str">
        <f>""</f>
        <v/>
      </c>
      <c r="V992" t="s">
        <v>3590</v>
      </c>
      <c r="X992" t="s">
        <v>967</v>
      </c>
      <c r="Y992" t="s">
        <v>36</v>
      </c>
      <c r="Z992" t="str">
        <f>"85283"</f>
        <v>85283</v>
      </c>
      <c r="AA992" t="str">
        <f>""</f>
        <v/>
      </c>
      <c r="AB992" t="s">
        <v>265</v>
      </c>
    </row>
    <row r="993" spans="1:28" x14ac:dyDescent="0.25">
      <c r="A993">
        <v>4288</v>
      </c>
      <c r="B993" t="str">
        <f t="shared" ref="B993:B998" si="161">"070514000"</f>
        <v>070514000</v>
      </c>
      <c r="C993" t="s">
        <v>3591</v>
      </c>
      <c r="D993">
        <v>0</v>
      </c>
      <c r="E993" t="str">
        <f>""</f>
        <v/>
      </c>
      <c r="G993" t="s">
        <v>29</v>
      </c>
      <c r="H993" t="s">
        <v>3592</v>
      </c>
      <c r="I993" t="s">
        <v>3593</v>
      </c>
      <c r="J993" t="s">
        <v>202</v>
      </c>
      <c r="K993" t="str">
        <f>"6234784060"</f>
        <v>6234784060</v>
      </c>
      <c r="L993" t="str">
        <f>""</f>
        <v/>
      </c>
      <c r="M993" t="str">
        <f>""</f>
        <v/>
      </c>
      <c r="N993" t="str">
        <f>""</f>
        <v/>
      </c>
      <c r="O993" t="s">
        <v>3594</v>
      </c>
      <c r="P993" t="s">
        <v>3595</v>
      </c>
      <c r="R993" t="s">
        <v>2633</v>
      </c>
      <c r="S993" t="s">
        <v>36</v>
      </c>
      <c r="T993" t="str">
        <f>"85353"</f>
        <v>85353</v>
      </c>
      <c r="U993" t="str">
        <f>""</f>
        <v/>
      </c>
      <c r="V993" t="s">
        <v>3595</v>
      </c>
      <c r="X993" t="s">
        <v>2633</v>
      </c>
      <c r="Y993" t="s">
        <v>36</v>
      </c>
      <c r="Z993" t="str">
        <f>"85353"</f>
        <v>85353</v>
      </c>
      <c r="AA993" t="str">
        <f>""</f>
        <v/>
      </c>
      <c r="AB993" t="s">
        <v>40</v>
      </c>
    </row>
    <row r="994" spans="1:28" x14ac:dyDescent="0.25">
      <c r="A994">
        <v>4288</v>
      </c>
      <c r="B994" t="str">
        <f t="shared" si="161"/>
        <v>070514000</v>
      </c>
      <c r="C994" t="s">
        <v>3591</v>
      </c>
      <c r="D994">
        <v>5452</v>
      </c>
      <c r="E994" t="str">
        <f>"070514201"</f>
        <v>070514201</v>
      </c>
      <c r="F994" t="s">
        <v>3596</v>
      </c>
      <c r="G994" t="s">
        <v>42</v>
      </c>
      <c r="H994" t="s">
        <v>3597</v>
      </c>
      <c r="I994" t="s">
        <v>3598</v>
      </c>
      <c r="J994" t="s">
        <v>315</v>
      </c>
      <c r="K994" t="str">
        <f>"6234784236"</f>
        <v>6234784236</v>
      </c>
      <c r="L994" t="str">
        <f>""</f>
        <v/>
      </c>
      <c r="M994" t="str">
        <f>"6234784195"</f>
        <v>6234784195</v>
      </c>
      <c r="N994" t="str">
        <f>""</f>
        <v/>
      </c>
      <c r="O994" t="s">
        <v>3599</v>
      </c>
      <c r="P994" t="s">
        <v>3600</v>
      </c>
      <c r="R994" t="s">
        <v>2633</v>
      </c>
      <c r="S994" t="s">
        <v>36</v>
      </c>
      <c r="T994" t="str">
        <f>"85353"</f>
        <v>85353</v>
      </c>
      <c r="U994" t="str">
        <f>""</f>
        <v/>
      </c>
      <c r="V994" t="s">
        <v>3600</v>
      </c>
      <c r="X994" t="s">
        <v>2633</v>
      </c>
      <c r="Y994" t="s">
        <v>36</v>
      </c>
      <c r="Z994" t="str">
        <f>"85353"</f>
        <v>85353</v>
      </c>
      <c r="AA994" t="str">
        <f>""</f>
        <v/>
      </c>
      <c r="AB994" t="s">
        <v>40</v>
      </c>
    </row>
    <row r="995" spans="1:28" x14ac:dyDescent="0.25">
      <c r="A995">
        <v>4288</v>
      </c>
      <c r="B995" t="str">
        <f t="shared" si="161"/>
        <v>070514000</v>
      </c>
      <c r="C995" t="s">
        <v>3591</v>
      </c>
      <c r="D995">
        <v>5453</v>
      </c>
      <c r="E995" t="str">
        <f>"070514202"</f>
        <v>070514202</v>
      </c>
      <c r="F995" t="s">
        <v>3601</v>
      </c>
      <c r="G995" t="s">
        <v>42</v>
      </c>
      <c r="H995" t="s">
        <v>3602</v>
      </c>
      <c r="I995" t="s">
        <v>3603</v>
      </c>
      <c r="J995" t="s">
        <v>315</v>
      </c>
      <c r="K995" t="str">
        <f>"6234784633"</f>
        <v>6234784633</v>
      </c>
      <c r="L995" t="str">
        <f>""</f>
        <v/>
      </c>
      <c r="M995" t="str">
        <f>"6238728807"</f>
        <v>6238728807</v>
      </c>
      <c r="N995" t="str">
        <f>""</f>
        <v/>
      </c>
      <c r="O995" t="s">
        <v>3604</v>
      </c>
      <c r="P995" t="s">
        <v>3605</v>
      </c>
      <c r="R995" t="s">
        <v>2893</v>
      </c>
      <c r="S995" t="s">
        <v>36</v>
      </c>
      <c r="T995" t="str">
        <f>"85323"</f>
        <v>85323</v>
      </c>
      <c r="U995" t="str">
        <f>""</f>
        <v/>
      </c>
      <c r="V995" t="s">
        <v>3605</v>
      </c>
      <c r="X995" t="s">
        <v>2893</v>
      </c>
      <c r="Y995" t="s">
        <v>36</v>
      </c>
      <c r="Z995" t="str">
        <f>"85323"</f>
        <v>85323</v>
      </c>
      <c r="AA995" t="str">
        <f>""</f>
        <v/>
      </c>
      <c r="AB995" t="s">
        <v>40</v>
      </c>
    </row>
    <row r="996" spans="1:28" x14ac:dyDescent="0.25">
      <c r="A996">
        <v>4288</v>
      </c>
      <c r="B996" t="str">
        <f t="shared" si="161"/>
        <v>070514000</v>
      </c>
      <c r="C996" t="s">
        <v>3591</v>
      </c>
      <c r="D996">
        <v>80051</v>
      </c>
      <c r="E996" t="str">
        <f>"070514203"</f>
        <v>070514203</v>
      </c>
      <c r="F996" t="s">
        <v>3606</v>
      </c>
      <c r="G996" t="s">
        <v>42</v>
      </c>
      <c r="H996" t="s">
        <v>3607</v>
      </c>
      <c r="I996" t="s">
        <v>2026</v>
      </c>
      <c r="J996" t="s">
        <v>315</v>
      </c>
      <c r="K996" t="str">
        <f>"6234784457"</f>
        <v>6234784457</v>
      </c>
      <c r="L996" t="str">
        <f>""</f>
        <v/>
      </c>
      <c r="M996" t="str">
        <f>"6234784594"</f>
        <v>6234784594</v>
      </c>
      <c r="N996" t="str">
        <f>""</f>
        <v/>
      </c>
      <c r="O996" t="s">
        <v>3608</v>
      </c>
      <c r="P996" t="s">
        <v>3609</v>
      </c>
      <c r="R996" t="s">
        <v>2893</v>
      </c>
      <c r="S996" t="s">
        <v>36</v>
      </c>
      <c r="T996" t="str">
        <f>"85323"</f>
        <v>85323</v>
      </c>
      <c r="U996" t="str">
        <f>""</f>
        <v/>
      </c>
      <c r="V996" t="s">
        <v>3609</v>
      </c>
      <c r="X996" t="s">
        <v>2893</v>
      </c>
      <c r="Y996" t="s">
        <v>36</v>
      </c>
      <c r="Z996" t="str">
        <f>"85323"</f>
        <v>85323</v>
      </c>
      <c r="AA996" t="str">
        <f>""</f>
        <v/>
      </c>
      <c r="AB996" t="s">
        <v>40</v>
      </c>
    </row>
    <row r="997" spans="1:28" x14ac:dyDescent="0.25">
      <c r="A997">
        <v>4288</v>
      </c>
      <c r="B997" t="str">
        <f t="shared" si="161"/>
        <v>070514000</v>
      </c>
      <c r="C997" t="s">
        <v>3591</v>
      </c>
      <c r="D997">
        <v>85810</v>
      </c>
      <c r="E997" t="str">
        <f>"070514204"</f>
        <v>070514204</v>
      </c>
      <c r="F997" t="s">
        <v>3610</v>
      </c>
      <c r="G997" t="s">
        <v>42</v>
      </c>
      <c r="H997" t="s">
        <v>220</v>
      </c>
      <c r="I997" t="s">
        <v>3611</v>
      </c>
      <c r="J997" t="s">
        <v>926</v>
      </c>
      <c r="K997" t="str">
        <f>"6234784843"</f>
        <v>6234784843</v>
      </c>
      <c r="L997" t="str">
        <f>""</f>
        <v/>
      </c>
      <c r="M997" t="str">
        <f>"6234784195"</f>
        <v>6234784195</v>
      </c>
      <c r="N997" t="str">
        <f>""</f>
        <v/>
      </c>
      <c r="O997" t="s">
        <v>3612</v>
      </c>
      <c r="P997" t="s">
        <v>3613</v>
      </c>
      <c r="R997" t="s">
        <v>1173</v>
      </c>
      <c r="S997" t="s">
        <v>36</v>
      </c>
      <c r="T997" t="str">
        <f>"85305"</f>
        <v>85305</v>
      </c>
      <c r="U997" t="str">
        <f>""</f>
        <v/>
      </c>
      <c r="V997" t="s">
        <v>3613</v>
      </c>
      <c r="X997" t="s">
        <v>1173</v>
      </c>
      <c r="Y997" t="s">
        <v>36</v>
      </c>
      <c r="Z997" t="str">
        <f>"85305"</f>
        <v>85305</v>
      </c>
      <c r="AA997" t="str">
        <f>""</f>
        <v/>
      </c>
      <c r="AB997" t="s">
        <v>40</v>
      </c>
    </row>
    <row r="998" spans="1:28" x14ac:dyDescent="0.25">
      <c r="A998">
        <v>4288</v>
      </c>
      <c r="B998" t="str">
        <f t="shared" si="161"/>
        <v>070514000</v>
      </c>
      <c r="C998" t="s">
        <v>3591</v>
      </c>
      <c r="D998">
        <v>89908</v>
      </c>
      <c r="E998" t="str">
        <f>"070514205"</f>
        <v>070514205</v>
      </c>
      <c r="F998" t="s">
        <v>3614</v>
      </c>
      <c r="G998" t="s">
        <v>42</v>
      </c>
      <c r="H998" t="s">
        <v>3615</v>
      </c>
      <c r="I998" t="s">
        <v>3616</v>
      </c>
      <c r="J998" t="s">
        <v>926</v>
      </c>
      <c r="K998" t="str">
        <f>"6234747757"</f>
        <v>6234747757</v>
      </c>
      <c r="L998" t="str">
        <f>""</f>
        <v/>
      </c>
      <c r="M998" t="str">
        <f>""</f>
        <v/>
      </c>
      <c r="N998" t="str">
        <f>""</f>
        <v/>
      </c>
      <c r="O998" t="s">
        <v>3617</v>
      </c>
      <c r="P998" t="s">
        <v>3618</v>
      </c>
      <c r="R998" t="s">
        <v>2633</v>
      </c>
      <c r="S998" t="s">
        <v>36</v>
      </c>
      <c r="T998" t="str">
        <f>"85353"</f>
        <v>85353</v>
      </c>
      <c r="U998" t="str">
        <f>""</f>
        <v/>
      </c>
      <c r="V998" t="s">
        <v>3619</v>
      </c>
      <c r="X998" t="s">
        <v>964</v>
      </c>
      <c r="Y998" t="s">
        <v>36</v>
      </c>
      <c r="Z998" t="str">
        <f>"85043"</f>
        <v>85043</v>
      </c>
      <c r="AA998" t="str">
        <f>""</f>
        <v/>
      </c>
      <c r="AB998" t="s">
        <v>40</v>
      </c>
    </row>
    <row r="999" spans="1:28" x14ac:dyDescent="0.25">
      <c r="A999">
        <v>4289</v>
      </c>
      <c r="B999" t="str">
        <f t="shared" ref="B999:B1004" si="162">"070516000"</f>
        <v>070516000</v>
      </c>
      <c r="C999" t="s">
        <v>3620</v>
      </c>
      <c r="D999">
        <v>0</v>
      </c>
      <c r="E999" t="str">
        <f>""</f>
        <v/>
      </c>
      <c r="G999" t="s">
        <v>29</v>
      </c>
      <c r="H999" t="s">
        <v>601</v>
      </c>
      <c r="I999" t="s">
        <v>936</v>
      </c>
      <c r="J999" t="s">
        <v>32</v>
      </c>
      <c r="K999" t="str">
        <f>"6239327009"</f>
        <v>6239327009</v>
      </c>
      <c r="L999" t="str">
        <f>""</f>
        <v/>
      </c>
      <c r="M999" t="str">
        <f>""</f>
        <v/>
      </c>
      <c r="N999" t="str">
        <f>""</f>
        <v/>
      </c>
      <c r="O999" t="s">
        <v>3621</v>
      </c>
      <c r="P999" t="s">
        <v>3622</v>
      </c>
      <c r="R999" t="s">
        <v>2893</v>
      </c>
      <c r="S999" t="s">
        <v>36</v>
      </c>
      <c r="T999" t="str">
        <f>"85323"</f>
        <v>85323</v>
      </c>
      <c r="U999" t="str">
        <f>""</f>
        <v/>
      </c>
      <c r="V999" t="s">
        <v>3622</v>
      </c>
      <c r="X999" t="s">
        <v>2893</v>
      </c>
      <c r="Y999" t="s">
        <v>36</v>
      </c>
      <c r="Z999" t="str">
        <f>"85323"</f>
        <v>85323</v>
      </c>
      <c r="AA999" t="str">
        <f>""</f>
        <v/>
      </c>
      <c r="AB999" t="s">
        <v>56</v>
      </c>
    </row>
    <row r="1000" spans="1:28" x14ac:dyDescent="0.25">
      <c r="A1000">
        <v>4289</v>
      </c>
      <c r="B1000" t="str">
        <f t="shared" si="162"/>
        <v>070516000</v>
      </c>
      <c r="C1000" t="s">
        <v>3620</v>
      </c>
      <c r="D1000">
        <v>5454</v>
      </c>
      <c r="E1000" t="str">
        <f>"070516201"</f>
        <v>070516201</v>
      </c>
      <c r="F1000" t="s">
        <v>3623</v>
      </c>
      <c r="G1000" t="s">
        <v>42</v>
      </c>
      <c r="H1000" t="s">
        <v>3624</v>
      </c>
      <c r="I1000" t="s">
        <v>3625</v>
      </c>
      <c r="J1000" t="s">
        <v>195</v>
      </c>
      <c r="K1000" t="str">
        <f>"6239327300"</f>
        <v>6239327300</v>
      </c>
      <c r="L1000" t="str">
        <f>"1132"</f>
        <v>1132</v>
      </c>
      <c r="M1000" t="str">
        <f>""</f>
        <v/>
      </c>
      <c r="N1000" t="str">
        <f>""</f>
        <v/>
      </c>
      <c r="O1000" t="s">
        <v>3626</v>
      </c>
      <c r="P1000" t="s">
        <v>3627</v>
      </c>
      <c r="R1000" t="s">
        <v>2893</v>
      </c>
      <c r="S1000" t="s">
        <v>36</v>
      </c>
      <c r="T1000" t="str">
        <f>"85323"</f>
        <v>85323</v>
      </c>
      <c r="U1000" t="str">
        <f>""</f>
        <v/>
      </c>
      <c r="V1000" t="s">
        <v>3627</v>
      </c>
      <c r="X1000" t="s">
        <v>2893</v>
      </c>
      <c r="Y1000" t="s">
        <v>36</v>
      </c>
      <c r="Z1000" t="str">
        <f>"85323"</f>
        <v>85323</v>
      </c>
      <c r="AA1000" t="str">
        <f>""</f>
        <v/>
      </c>
      <c r="AB1000" t="s">
        <v>56</v>
      </c>
    </row>
    <row r="1001" spans="1:28" x14ac:dyDescent="0.25">
      <c r="A1001">
        <v>4289</v>
      </c>
      <c r="B1001" t="str">
        <f t="shared" si="162"/>
        <v>070516000</v>
      </c>
      <c r="C1001" t="s">
        <v>3620</v>
      </c>
      <c r="D1001">
        <v>78926</v>
      </c>
      <c r="E1001" t="str">
        <f>"070516202"</f>
        <v>070516202</v>
      </c>
      <c r="F1001" t="s">
        <v>3628</v>
      </c>
      <c r="G1001" t="s">
        <v>42</v>
      </c>
      <c r="H1001" t="s">
        <v>3629</v>
      </c>
      <c r="I1001" t="s">
        <v>3630</v>
      </c>
      <c r="J1001" t="s">
        <v>195</v>
      </c>
      <c r="K1001" t="str">
        <f>"6239327200"</f>
        <v>6239327200</v>
      </c>
      <c r="L1001" t="str">
        <f>"2030"</f>
        <v>2030</v>
      </c>
      <c r="M1001" t="str">
        <f>""</f>
        <v/>
      </c>
      <c r="N1001" t="str">
        <f>""</f>
        <v/>
      </c>
      <c r="O1001" t="s">
        <v>3631</v>
      </c>
      <c r="P1001" t="s">
        <v>3632</v>
      </c>
      <c r="R1001" t="s">
        <v>2670</v>
      </c>
      <c r="S1001" t="s">
        <v>36</v>
      </c>
      <c r="T1001" t="str">
        <f>"85395"</f>
        <v>85395</v>
      </c>
      <c r="U1001" t="str">
        <f>""</f>
        <v/>
      </c>
      <c r="V1001" t="s">
        <v>3632</v>
      </c>
      <c r="X1001" t="s">
        <v>2670</v>
      </c>
      <c r="Y1001" t="s">
        <v>36</v>
      </c>
      <c r="Z1001" t="str">
        <f>"85395"</f>
        <v>85395</v>
      </c>
      <c r="AA1001" t="str">
        <f>""</f>
        <v/>
      </c>
      <c r="AB1001" t="s">
        <v>56</v>
      </c>
    </row>
    <row r="1002" spans="1:28" x14ac:dyDescent="0.25">
      <c r="A1002">
        <v>4289</v>
      </c>
      <c r="B1002" t="str">
        <f t="shared" si="162"/>
        <v>070516000</v>
      </c>
      <c r="C1002" t="s">
        <v>3620</v>
      </c>
      <c r="D1002">
        <v>79799</v>
      </c>
      <c r="E1002" t="str">
        <f>"070516203"</f>
        <v>070516203</v>
      </c>
      <c r="F1002" t="s">
        <v>3633</v>
      </c>
      <c r="G1002" t="s">
        <v>42</v>
      </c>
      <c r="H1002" t="s">
        <v>3624</v>
      </c>
      <c r="I1002" t="s">
        <v>3625</v>
      </c>
      <c r="J1002" t="s">
        <v>195</v>
      </c>
      <c r="K1002" t="str">
        <f>"6239327500"</f>
        <v>6239327500</v>
      </c>
      <c r="L1002" t="str">
        <f>"3025"</f>
        <v>3025</v>
      </c>
      <c r="M1002" t="str">
        <f>""</f>
        <v/>
      </c>
      <c r="N1002" t="str">
        <f>""</f>
        <v/>
      </c>
      <c r="O1002" t="s">
        <v>3626</v>
      </c>
      <c r="P1002" t="s">
        <v>3634</v>
      </c>
      <c r="R1002" t="s">
        <v>2670</v>
      </c>
      <c r="S1002" t="s">
        <v>36</v>
      </c>
      <c r="T1002" t="str">
        <f>"85338"</f>
        <v>85338</v>
      </c>
      <c r="U1002" t="str">
        <f>""</f>
        <v/>
      </c>
      <c r="V1002" t="s">
        <v>3634</v>
      </c>
      <c r="X1002" t="s">
        <v>2670</v>
      </c>
      <c r="Y1002" t="s">
        <v>36</v>
      </c>
      <c r="Z1002" t="str">
        <f>"85338"</f>
        <v>85338</v>
      </c>
      <c r="AA1002" t="str">
        <f>""</f>
        <v/>
      </c>
      <c r="AB1002" t="s">
        <v>56</v>
      </c>
    </row>
    <row r="1003" spans="1:28" x14ac:dyDescent="0.25">
      <c r="A1003">
        <v>4289</v>
      </c>
      <c r="B1003" t="str">
        <f t="shared" si="162"/>
        <v>070516000</v>
      </c>
      <c r="C1003" t="s">
        <v>3620</v>
      </c>
      <c r="D1003">
        <v>87903</v>
      </c>
      <c r="E1003" t="str">
        <f>"070516204"</f>
        <v>070516204</v>
      </c>
      <c r="F1003" t="s">
        <v>3635</v>
      </c>
      <c r="G1003" t="s">
        <v>42</v>
      </c>
      <c r="H1003" t="s">
        <v>3636</v>
      </c>
      <c r="I1003" t="s">
        <v>3637</v>
      </c>
      <c r="J1003" t="s">
        <v>315</v>
      </c>
      <c r="K1003" t="str">
        <f>"6029327400"</f>
        <v>6029327400</v>
      </c>
      <c r="L1003" t="str">
        <f>"4132"</f>
        <v>4132</v>
      </c>
      <c r="M1003" t="str">
        <f>""</f>
        <v/>
      </c>
      <c r="N1003" t="str">
        <f>""</f>
        <v/>
      </c>
      <c r="O1003" t="s">
        <v>3638</v>
      </c>
      <c r="P1003" t="s">
        <v>3639</v>
      </c>
      <c r="R1003" t="s">
        <v>1158</v>
      </c>
      <c r="S1003" t="s">
        <v>36</v>
      </c>
      <c r="T1003" t="str">
        <f>"85396"</f>
        <v>85396</v>
      </c>
      <c r="U1003" t="str">
        <f>""</f>
        <v/>
      </c>
      <c r="V1003" t="s">
        <v>3639</v>
      </c>
      <c r="X1003" t="s">
        <v>1158</v>
      </c>
      <c r="Y1003" t="s">
        <v>36</v>
      </c>
      <c r="Z1003" t="str">
        <f>"85396"</f>
        <v>85396</v>
      </c>
      <c r="AA1003" t="str">
        <f>""</f>
        <v/>
      </c>
      <c r="AB1003" t="s">
        <v>56</v>
      </c>
    </row>
    <row r="1004" spans="1:28" x14ac:dyDescent="0.25">
      <c r="A1004">
        <v>4289</v>
      </c>
      <c r="B1004" t="str">
        <f t="shared" si="162"/>
        <v>070516000</v>
      </c>
      <c r="C1004" t="s">
        <v>3620</v>
      </c>
      <c r="D1004">
        <v>932049</v>
      </c>
      <c r="E1004" t="str">
        <f>"070516206"</f>
        <v>070516206</v>
      </c>
      <c r="F1004" t="s">
        <v>3640</v>
      </c>
      <c r="G1004" t="s">
        <v>42</v>
      </c>
      <c r="H1004" t="s">
        <v>3636</v>
      </c>
      <c r="I1004" t="s">
        <v>3637</v>
      </c>
      <c r="J1004" t="s">
        <v>520</v>
      </c>
      <c r="K1004" t="str">
        <f>"6239327600"</f>
        <v>6239327600</v>
      </c>
      <c r="L1004" t="str">
        <f>"5032"</f>
        <v>5032</v>
      </c>
      <c r="M1004" t="str">
        <f>""</f>
        <v/>
      </c>
      <c r="N1004" t="str">
        <f>""</f>
        <v/>
      </c>
      <c r="O1004" t="s">
        <v>3638</v>
      </c>
      <c r="P1004" t="s">
        <v>3641</v>
      </c>
      <c r="R1004" t="s">
        <v>1900</v>
      </c>
      <c r="S1004" t="s">
        <v>36</v>
      </c>
      <c r="T1004" t="str">
        <f>"85355"</f>
        <v>85355</v>
      </c>
      <c r="U1004" t="str">
        <f>""</f>
        <v/>
      </c>
      <c r="V1004" t="s">
        <v>3641</v>
      </c>
      <c r="X1004" t="s">
        <v>1900</v>
      </c>
      <c r="Y1004" t="s">
        <v>36</v>
      </c>
      <c r="Z1004" t="str">
        <f>"85355"</f>
        <v>85355</v>
      </c>
      <c r="AA1004" t="str">
        <f>""</f>
        <v/>
      </c>
      <c r="AB1004" t="s">
        <v>56</v>
      </c>
    </row>
    <row r="1005" spans="1:28" x14ac:dyDescent="0.25">
      <c r="A1005">
        <v>4294</v>
      </c>
      <c r="B1005" t="str">
        <f>"078987000"</f>
        <v>078987000</v>
      </c>
      <c r="C1005" t="s">
        <v>3642</v>
      </c>
      <c r="D1005">
        <v>0</v>
      </c>
      <c r="E1005" t="str">
        <f>""</f>
        <v/>
      </c>
      <c r="G1005" t="s">
        <v>29</v>
      </c>
      <c r="H1005" t="s">
        <v>1694</v>
      </c>
      <c r="I1005" t="s">
        <v>3643</v>
      </c>
      <c r="J1005" t="s">
        <v>3644</v>
      </c>
      <c r="K1005" t="str">
        <f>"6028969160"</f>
        <v>6028969160</v>
      </c>
      <c r="L1005" t="str">
        <f>"201"</f>
        <v>201</v>
      </c>
      <c r="M1005" t="str">
        <f>"6028961997"</f>
        <v>6028961997</v>
      </c>
      <c r="N1005" t="str">
        <f>""</f>
        <v/>
      </c>
      <c r="O1005" t="s">
        <v>3645</v>
      </c>
      <c r="P1005" t="s">
        <v>3646</v>
      </c>
      <c r="R1005" t="s">
        <v>964</v>
      </c>
      <c r="S1005" t="s">
        <v>36</v>
      </c>
      <c r="T1005" t="str">
        <f>"85023"</f>
        <v>85023</v>
      </c>
      <c r="U1005" t="str">
        <f>""</f>
        <v/>
      </c>
      <c r="V1005" t="s">
        <v>3646</v>
      </c>
      <c r="X1005" t="s">
        <v>964</v>
      </c>
      <c r="Y1005" t="s">
        <v>36</v>
      </c>
      <c r="Z1005" t="str">
        <f>"85023"</f>
        <v>85023</v>
      </c>
      <c r="AA1005" t="str">
        <f>""</f>
        <v/>
      </c>
      <c r="AB1005" t="s">
        <v>1990</v>
      </c>
    </row>
    <row r="1006" spans="1:28" x14ac:dyDescent="0.25">
      <c r="A1006">
        <v>4294</v>
      </c>
      <c r="B1006" t="str">
        <f>"078987000"</f>
        <v>078987000</v>
      </c>
      <c r="C1006" t="s">
        <v>3642</v>
      </c>
      <c r="D1006">
        <v>10730</v>
      </c>
      <c r="E1006" t="str">
        <f>"078987103"</f>
        <v>078987103</v>
      </c>
      <c r="F1006" t="s">
        <v>3647</v>
      </c>
      <c r="G1006" t="s">
        <v>42</v>
      </c>
      <c r="H1006" t="s">
        <v>3648</v>
      </c>
      <c r="I1006" t="s">
        <v>3649</v>
      </c>
      <c r="J1006" t="s">
        <v>3650</v>
      </c>
      <c r="K1006" t="str">
        <f>"6028969160"</f>
        <v>6028969160</v>
      </c>
      <c r="L1006" t="str">
        <f>"108"</f>
        <v>108</v>
      </c>
      <c r="M1006" t="str">
        <f>"6028961997"</f>
        <v>6028961997</v>
      </c>
      <c r="N1006" t="str">
        <f>""</f>
        <v/>
      </c>
      <c r="O1006" t="s">
        <v>3651</v>
      </c>
      <c r="P1006" t="s">
        <v>3646</v>
      </c>
      <c r="R1006" t="s">
        <v>964</v>
      </c>
      <c r="S1006" t="s">
        <v>36</v>
      </c>
      <c r="T1006" t="str">
        <f>"85023"</f>
        <v>85023</v>
      </c>
      <c r="U1006" t="str">
        <f>""</f>
        <v/>
      </c>
      <c r="V1006" t="s">
        <v>3646</v>
      </c>
      <c r="X1006" t="s">
        <v>964</v>
      </c>
      <c r="Y1006" t="s">
        <v>36</v>
      </c>
      <c r="Z1006" t="str">
        <f>"85023"</f>
        <v>85023</v>
      </c>
      <c r="AA1006" t="str">
        <f>""</f>
        <v/>
      </c>
      <c r="AB1006" t="s">
        <v>1990</v>
      </c>
    </row>
    <row r="1007" spans="1:28" x14ac:dyDescent="0.25">
      <c r="A1007">
        <v>4300</v>
      </c>
      <c r="B1007" t="str">
        <f>"078608000"</f>
        <v>078608000</v>
      </c>
      <c r="C1007" t="s">
        <v>3652</v>
      </c>
      <c r="D1007">
        <v>0</v>
      </c>
      <c r="E1007" t="str">
        <f>""</f>
        <v/>
      </c>
      <c r="G1007" t="s">
        <v>29</v>
      </c>
      <c r="H1007" t="s">
        <v>3653</v>
      </c>
      <c r="I1007" t="s">
        <v>3654</v>
      </c>
      <c r="J1007" t="s">
        <v>195</v>
      </c>
      <c r="K1007" t="str">
        <f>"6022747318"</f>
        <v>6022747318</v>
      </c>
      <c r="L1007" t="str">
        <f>"116"</f>
        <v>116</v>
      </c>
      <c r="M1007" t="str">
        <f>"6022884605"</f>
        <v>6022884605</v>
      </c>
      <c r="N1007" t="str">
        <f>""</f>
        <v/>
      </c>
      <c r="O1007" t="s">
        <v>3655</v>
      </c>
      <c r="P1007" t="s">
        <v>3656</v>
      </c>
      <c r="R1007" t="s">
        <v>964</v>
      </c>
      <c r="S1007" t="s">
        <v>36</v>
      </c>
      <c r="T1007" t="str">
        <f>"85013"</f>
        <v>85013</v>
      </c>
      <c r="U1007" t="str">
        <f>""</f>
        <v/>
      </c>
      <c r="V1007" t="s">
        <v>3656</v>
      </c>
      <c r="X1007" t="s">
        <v>964</v>
      </c>
      <c r="Y1007" t="s">
        <v>36</v>
      </c>
      <c r="Z1007" t="str">
        <f>"85013"</f>
        <v>85013</v>
      </c>
      <c r="AA1007" t="str">
        <f>""</f>
        <v/>
      </c>
      <c r="AB1007" t="s">
        <v>249</v>
      </c>
    </row>
    <row r="1008" spans="1:28" x14ac:dyDescent="0.25">
      <c r="A1008">
        <v>4300</v>
      </c>
      <c r="B1008" t="str">
        <f>"078608000"</f>
        <v>078608000</v>
      </c>
      <c r="C1008" t="s">
        <v>3652</v>
      </c>
      <c r="D1008">
        <v>5466</v>
      </c>
      <c r="E1008" t="str">
        <f>"078608001"</f>
        <v>078608001</v>
      </c>
      <c r="F1008" t="s">
        <v>3657</v>
      </c>
      <c r="G1008" t="s">
        <v>42</v>
      </c>
      <c r="H1008" t="s">
        <v>3653</v>
      </c>
      <c r="I1008" t="s">
        <v>3654</v>
      </c>
      <c r="J1008" t="s">
        <v>3658</v>
      </c>
      <c r="K1008" t="str">
        <f>"6022747318"</f>
        <v>6022747318</v>
      </c>
      <c r="L1008" t="str">
        <f>"116"</f>
        <v>116</v>
      </c>
      <c r="M1008" t="str">
        <f>"6022884605"</f>
        <v>6022884605</v>
      </c>
      <c r="N1008" t="str">
        <f>""</f>
        <v/>
      </c>
      <c r="O1008" t="s">
        <v>3659</v>
      </c>
      <c r="P1008" t="s">
        <v>3660</v>
      </c>
      <c r="R1008" t="s">
        <v>964</v>
      </c>
      <c r="S1008" t="s">
        <v>36</v>
      </c>
      <c r="T1008" t="str">
        <f>"85013"</f>
        <v>85013</v>
      </c>
      <c r="U1008" t="str">
        <f>"2449"</f>
        <v>2449</v>
      </c>
      <c r="V1008" t="s">
        <v>3660</v>
      </c>
      <c r="X1008" t="s">
        <v>964</v>
      </c>
      <c r="Y1008" t="s">
        <v>36</v>
      </c>
      <c r="Z1008" t="str">
        <f>"85013"</f>
        <v>85013</v>
      </c>
      <c r="AA1008" t="str">
        <f>"2449"</f>
        <v>2449</v>
      </c>
      <c r="AB1008" t="s">
        <v>249</v>
      </c>
    </row>
    <row r="1009" spans="1:28" x14ac:dyDescent="0.25">
      <c r="A1009">
        <v>4301</v>
      </c>
      <c r="B1009" t="str">
        <f>"078609000"</f>
        <v>078609000</v>
      </c>
      <c r="C1009" t="s">
        <v>3661</v>
      </c>
      <c r="D1009">
        <v>0</v>
      </c>
      <c r="E1009" t="str">
        <f>""</f>
        <v/>
      </c>
      <c r="G1009" t="s">
        <v>29</v>
      </c>
      <c r="H1009" t="s">
        <v>3662</v>
      </c>
      <c r="I1009" t="s">
        <v>3663</v>
      </c>
      <c r="J1009" t="s">
        <v>301</v>
      </c>
      <c r="K1009" t="str">
        <f>"6232231335"</f>
        <v>6232231335</v>
      </c>
      <c r="L1009" t="str">
        <f>"113"</f>
        <v>113</v>
      </c>
      <c r="M1009" t="str">
        <f>"4804882079"</f>
        <v>4804882079</v>
      </c>
      <c r="N1009" t="str">
        <f>""</f>
        <v/>
      </c>
      <c r="O1009" t="s">
        <v>3664</v>
      </c>
      <c r="P1009" t="s">
        <v>3665</v>
      </c>
      <c r="R1009" t="s">
        <v>964</v>
      </c>
      <c r="S1009" t="s">
        <v>36</v>
      </c>
      <c r="T1009" t="str">
        <f>"85085"</f>
        <v>85085</v>
      </c>
      <c r="U1009" t="str">
        <f>""</f>
        <v/>
      </c>
      <c r="V1009" t="s">
        <v>3665</v>
      </c>
      <c r="X1009" t="s">
        <v>964</v>
      </c>
      <c r="Y1009" t="s">
        <v>36</v>
      </c>
      <c r="Z1009" t="str">
        <f>"85085"</f>
        <v>85085</v>
      </c>
      <c r="AA1009" t="str">
        <f>""</f>
        <v/>
      </c>
      <c r="AB1009" t="s">
        <v>156</v>
      </c>
    </row>
    <row r="1010" spans="1:28" x14ac:dyDescent="0.25">
      <c r="A1010">
        <v>4301</v>
      </c>
      <c r="B1010" t="str">
        <f>"078609000"</f>
        <v>078609000</v>
      </c>
      <c r="C1010" t="s">
        <v>3661</v>
      </c>
      <c r="D1010">
        <v>5467</v>
      </c>
      <c r="E1010" t="str">
        <f>"078609101"</f>
        <v>078609101</v>
      </c>
      <c r="F1010" t="s">
        <v>3661</v>
      </c>
      <c r="G1010" t="s">
        <v>42</v>
      </c>
      <c r="H1010" t="s">
        <v>3662</v>
      </c>
      <c r="I1010" t="s">
        <v>3663</v>
      </c>
      <c r="J1010" t="s">
        <v>301</v>
      </c>
      <c r="K1010" t="str">
        <f>"6232231335"</f>
        <v>6232231335</v>
      </c>
      <c r="L1010" t="str">
        <f>"113"</f>
        <v>113</v>
      </c>
      <c r="M1010" t="str">
        <f>"4804882079"</f>
        <v>4804882079</v>
      </c>
      <c r="N1010" t="str">
        <f>""</f>
        <v/>
      </c>
      <c r="O1010" t="s">
        <v>3664</v>
      </c>
      <c r="P1010" t="s">
        <v>3665</v>
      </c>
      <c r="R1010" t="s">
        <v>964</v>
      </c>
      <c r="S1010" t="s">
        <v>36</v>
      </c>
      <c r="T1010" t="str">
        <f>"85085"</f>
        <v>85085</v>
      </c>
      <c r="U1010" t="str">
        <f>""</f>
        <v/>
      </c>
      <c r="V1010" t="s">
        <v>3665</v>
      </c>
      <c r="X1010" t="s">
        <v>964</v>
      </c>
      <c r="Y1010" t="s">
        <v>36</v>
      </c>
      <c r="Z1010" t="str">
        <f>"85085"</f>
        <v>85085</v>
      </c>
      <c r="AA1010" t="str">
        <f>""</f>
        <v/>
      </c>
      <c r="AB1010" t="s">
        <v>156</v>
      </c>
    </row>
    <row r="1011" spans="1:28" x14ac:dyDescent="0.25">
      <c r="A1011">
        <v>4303</v>
      </c>
      <c r="B1011" t="str">
        <f>"078611000"</f>
        <v>078611000</v>
      </c>
      <c r="C1011" t="s">
        <v>3666</v>
      </c>
      <c r="D1011">
        <v>0</v>
      </c>
      <c r="E1011" t="str">
        <f>""</f>
        <v/>
      </c>
      <c r="G1011" t="s">
        <v>29</v>
      </c>
      <c r="H1011" t="s">
        <v>3667</v>
      </c>
      <c r="I1011" t="s">
        <v>3668</v>
      </c>
      <c r="J1011" t="s">
        <v>3669</v>
      </c>
      <c r="K1011" t="str">
        <f>"6022584353"</f>
        <v>6022584353</v>
      </c>
      <c r="L1011" t="str">
        <f>"201"</f>
        <v>201</v>
      </c>
      <c r="M1011" t="str">
        <f>"6024167375"</f>
        <v>6024167375</v>
      </c>
      <c r="N1011" t="str">
        <f>""</f>
        <v/>
      </c>
      <c r="O1011" t="s">
        <v>3670</v>
      </c>
      <c r="P1011" t="s">
        <v>3671</v>
      </c>
      <c r="R1011" t="s">
        <v>964</v>
      </c>
      <c r="S1011" t="s">
        <v>36</v>
      </c>
      <c r="T1011" t="str">
        <f>"85003"</f>
        <v>85003</v>
      </c>
      <c r="U1011" t="str">
        <f>""</f>
        <v/>
      </c>
      <c r="V1011" t="s">
        <v>3672</v>
      </c>
      <c r="X1011" t="s">
        <v>964</v>
      </c>
      <c r="Y1011" t="s">
        <v>36</v>
      </c>
      <c r="Z1011" t="str">
        <f>"85004"</f>
        <v>85004</v>
      </c>
      <c r="AA1011" t="str">
        <f>""</f>
        <v/>
      </c>
      <c r="AB1011" t="s">
        <v>265</v>
      </c>
    </row>
    <row r="1012" spans="1:28" x14ac:dyDescent="0.25">
      <c r="A1012">
        <v>4303</v>
      </c>
      <c r="B1012" t="str">
        <f>"078611000"</f>
        <v>078611000</v>
      </c>
      <c r="C1012" t="s">
        <v>3666</v>
      </c>
      <c r="D1012">
        <v>6036</v>
      </c>
      <c r="E1012" t="str">
        <f>"078611001"</f>
        <v>078611001</v>
      </c>
      <c r="F1012" t="s">
        <v>3673</v>
      </c>
      <c r="G1012" t="s">
        <v>42</v>
      </c>
      <c r="H1012" t="s">
        <v>2664</v>
      </c>
      <c r="I1012" t="s">
        <v>1880</v>
      </c>
      <c r="J1012" t="s">
        <v>3674</v>
      </c>
      <c r="K1012" t="str">
        <f>"6022584353"</f>
        <v>6022584353</v>
      </c>
      <c r="L1012" t="str">
        <f>"209"</f>
        <v>209</v>
      </c>
      <c r="M1012" t="str">
        <f>"6024167375"</f>
        <v>6024167375</v>
      </c>
      <c r="N1012" t="str">
        <f>""</f>
        <v/>
      </c>
      <c r="O1012" t="s">
        <v>3675</v>
      </c>
      <c r="P1012" t="s">
        <v>3676</v>
      </c>
      <c r="R1012" t="s">
        <v>964</v>
      </c>
      <c r="S1012" t="s">
        <v>36</v>
      </c>
      <c r="T1012" t="str">
        <f>"85003"</f>
        <v>85003</v>
      </c>
      <c r="U1012" t="str">
        <f>""</f>
        <v/>
      </c>
      <c r="V1012" t="s">
        <v>3677</v>
      </c>
      <c r="X1012" t="s">
        <v>964</v>
      </c>
      <c r="Y1012" t="s">
        <v>36</v>
      </c>
      <c r="Z1012" t="str">
        <f>"85004"</f>
        <v>85004</v>
      </c>
      <c r="AA1012" t="str">
        <f>""</f>
        <v/>
      </c>
      <c r="AB1012" t="s">
        <v>265</v>
      </c>
    </row>
    <row r="1013" spans="1:28" x14ac:dyDescent="0.25">
      <c r="A1013">
        <v>4305</v>
      </c>
      <c r="B1013" t="str">
        <f>"078613000"</f>
        <v>078613000</v>
      </c>
      <c r="C1013" t="s">
        <v>3678</v>
      </c>
      <c r="D1013">
        <v>0</v>
      </c>
      <c r="E1013" t="str">
        <f>""</f>
        <v/>
      </c>
      <c r="G1013" t="s">
        <v>29</v>
      </c>
      <c r="H1013" t="s">
        <v>3679</v>
      </c>
      <c r="I1013" t="s">
        <v>3680</v>
      </c>
      <c r="J1013" t="s">
        <v>486</v>
      </c>
      <c r="K1013" t="str">
        <f>"4808443965"</f>
        <v>4808443965</v>
      </c>
      <c r="L1013" t="str">
        <f>""</f>
        <v/>
      </c>
      <c r="M1013" t="str">
        <f>"4808440205"</f>
        <v>4808440205</v>
      </c>
      <c r="N1013" t="str">
        <f>""</f>
        <v/>
      </c>
      <c r="O1013" t="s">
        <v>3681</v>
      </c>
      <c r="P1013" t="s">
        <v>3682</v>
      </c>
      <c r="R1013" t="s">
        <v>979</v>
      </c>
      <c r="S1013" t="s">
        <v>36</v>
      </c>
      <c r="T1013" t="str">
        <f>"85210"</f>
        <v>85210</v>
      </c>
      <c r="U1013" t="str">
        <f>""</f>
        <v/>
      </c>
      <c r="V1013" t="s">
        <v>3682</v>
      </c>
      <c r="X1013" t="s">
        <v>979</v>
      </c>
      <c r="Y1013" t="s">
        <v>36</v>
      </c>
      <c r="Z1013" t="str">
        <f>"85210"</f>
        <v>85210</v>
      </c>
      <c r="AA1013" t="str">
        <f>""</f>
        <v/>
      </c>
      <c r="AB1013" t="s">
        <v>821</v>
      </c>
    </row>
    <row r="1014" spans="1:28" x14ac:dyDescent="0.25">
      <c r="A1014">
        <v>4305</v>
      </c>
      <c r="B1014" t="str">
        <f>"078613000"</f>
        <v>078613000</v>
      </c>
      <c r="C1014" t="s">
        <v>3678</v>
      </c>
      <c r="D1014">
        <v>5470</v>
      </c>
      <c r="E1014" t="str">
        <f>"078613101"</f>
        <v>078613101</v>
      </c>
      <c r="F1014" t="s">
        <v>3683</v>
      </c>
      <c r="G1014" t="s">
        <v>42</v>
      </c>
      <c r="H1014" t="s">
        <v>3684</v>
      </c>
      <c r="I1014" t="s">
        <v>3685</v>
      </c>
      <c r="J1014" t="s">
        <v>3686</v>
      </c>
      <c r="K1014" t="str">
        <f>"4808443965"</f>
        <v>4808443965</v>
      </c>
      <c r="L1014" t="str">
        <f>""</f>
        <v/>
      </c>
      <c r="M1014" t="str">
        <f>"4808440205"</f>
        <v>4808440205</v>
      </c>
      <c r="N1014" t="str">
        <f>""</f>
        <v/>
      </c>
      <c r="O1014" t="s">
        <v>3687</v>
      </c>
      <c r="P1014" t="s">
        <v>3682</v>
      </c>
      <c r="R1014" t="s">
        <v>979</v>
      </c>
      <c r="S1014" t="s">
        <v>36</v>
      </c>
      <c r="T1014" t="str">
        <f>"85210"</f>
        <v>85210</v>
      </c>
      <c r="U1014" t="str">
        <f>""</f>
        <v/>
      </c>
      <c r="V1014" t="s">
        <v>3682</v>
      </c>
      <c r="X1014" t="s">
        <v>979</v>
      </c>
      <c r="Y1014" t="s">
        <v>36</v>
      </c>
      <c r="Z1014" t="str">
        <f>"85210"</f>
        <v>85210</v>
      </c>
      <c r="AA1014" t="str">
        <f>""</f>
        <v/>
      </c>
      <c r="AB1014" t="s">
        <v>821</v>
      </c>
    </row>
    <row r="1015" spans="1:28" x14ac:dyDescent="0.25">
      <c r="A1015">
        <v>4314</v>
      </c>
      <c r="B1015" t="str">
        <f>"078647000"</f>
        <v>078647000</v>
      </c>
      <c r="C1015" t="s">
        <v>3688</v>
      </c>
      <c r="D1015">
        <v>0</v>
      </c>
      <c r="E1015" t="str">
        <f>""</f>
        <v/>
      </c>
      <c r="G1015" t="s">
        <v>29</v>
      </c>
      <c r="H1015" t="s">
        <v>3689</v>
      </c>
      <c r="I1015" t="s">
        <v>3690</v>
      </c>
      <c r="J1015" t="s">
        <v>3691</v>
      </c>
      <c r="K1015" t="str">
        <f>"6022868757"</f>
        <v>6022868757</v>
      </c>
      <c r="L1015" t="str">
        <f>""</f>
        <v/>
      </c>
      <c r="M1015" t="str">
        <f>""</f>
        <v/>
      </c>
      <c r="N1015" t="str">
        <f>""</f>
        <v/>
      </c>
      <c r="O1015" t="s">
        <v>3692</v>
      </c>
      <c r="P1015" t="s">
        <v>3693</v>
      </c>
      <c r="R1015" t="s">
        <v>964</v>
      </c>
      <c r="S1015" t="s">
        <v>36</v>
      </c>
      <c r="T1015" t="str">
        <f>"85034"</f>
        <v>85034</v>
      </c>
      <c r="U1015" t="str">
        <f>""</f>
        <v/>
      </c>
      <c r="V1015" t="s">
        <v>3693</v>
      </c>
      <c r="X1015" t="s">
        <v>964</v>
      </c>
      <c r="Y1015" t="s">
        <v>36</v>
      </c>
      <c r="Z1015" t="str">
        <f>"85034"</f>
        <v>85034</v>
      </c>
      <c r="AA1015" t="str">
        <f>""</f>
        <v/>
      </c>
      <c r="AB1015" t="s">
        <v>40</v>
      </c>
    </row>
    <row r="1016" spans="1:28" x14ac:dyDescent="0.25">
      <c r="A1016">
        <v>4314</v>
      </c>
      <c r="B1016" t="str">
        <f>"078647000"</f>
        <v>078647000</v>
      </c>
      <c r="C1016" t="s">
        <v>3688</v>
      </c>
      <c r="D1016">
        <v>5480</v>
      </c>
      <c r="E1016" t="str">
        <f>"078647201"</f>
        <v>078647201</v>
      </c>
      <c r="F1016" t="s">
        <v>3694</v>
      </c>
      <c r="G1016" t="s">
        <v>42</v>
      </c>
      <c r="H1016" t="s">
        <v>3689</v>
      </c>
      <c r="I1016" t="s">
        <v>3690</v>
      </c>
      <c r="J1016" t="s">
        <v>3691</v>
      </c>
      <c r="K1016" t="str">
        <f>"6022868757"</f>
        <v>6022868757</v>
      </c>
      <c r="L1016" t="str">
        <f>""</f>
        <v/>
      </c>
      <c r="M1016" t="str">
        <f>"6022868752"</f>
        <v>6022868752</v>
      </c>
      <c r="N1016" t="str">
        <f>""</f>
        <v/>
      </c>
      <c r="O1016" t="s">
        <v>3692</v>
      </c>
      <c r="P1016" t="s">
        <v>3695</v>
      </c>
      <c r="R1016" t="s">
        <v>964</v>
      </c>
      <c r="S1016" t="s">
        <v>36</v>
      </c>
      <c r="T1016" t="str">
        <f>"85034"</f>
        <v>85034</v>
      </c>
      <c r="U1016" t="str">
        <f>""</f>
        <v/>
      </c>
      <c r="V1016" t="s">
        <v>3695</v>
      </c>
      <c r="X1016" t="s">
        <v>964</v>
      </c>
      <c r="Y1016" t="s">
        <v>36</v>
      </c>
      <c r="Z1016" t="str">
        <f>"85034"</f>
        <v>85034</v>
      </c>
      <c r="AA1016" t="str">
        <f>""</f>
        <v/>
      </c>
      <c r="AB1016" t="s">
        <v>40</v>
      </c>
    </row>
    <row r="1017" spans="1:28" x14ac:dyDescent="0.25">
      <c r="A1017">
        <v>4320</v>
      </c>
      <c r="B1017" t="str">
        <f>"078656000"</f>
        <v>078656000</v>
      </c>
      <c r="C1017" t="s">
        <v>3696</v>
      </c>
      <c r="D1017">
        <v>0</v>
      </c>
      <c r="E1017" t="str">
        <f>""</f>
        <v/>
      </c>
      <c r="G1017" t="s">
        <v>29</v>
      </c>
      <c r="H1017" t="s">
        <v>2845</v>
      </c>
      <c r="I1017" t="s">
        <v>3697</v>
      </c>
      <c r="J1017" t="s">
        <v>195</v>
      </c>
      <c r="K1017" t="str">
        <f>"4803622077"</f>
        <v>4803622077</v>
      </c>
      <c r="L1017" t="str">
        <f>""</f>
        <v/>
      </c>
      <c r="M1017" t="str">
        <f>""</f>
        <v/>
      </c>
      <c r="N1017" t="str">
        <f>""</f>
        <v/>
      </c>
      <c r="O1017" t="s">
        <v>3698</v>
      </c>
      <c r="P1017" t="s">
        <v>3699</v>
      </c>
      <c r="R1017" t="s">
        <v>1465</v>
      </c>
      <c r="S1017" t="s">
        <v>36</v>
      </c>
      <c r="T1017" t="str">
        <f>"85256"</f>
        <v>85256</v>
      </c>
      <c r="U1017" t="str">
        <f>""</f>
        <v/>
      </c>
      <c r="V1017" t="s">
        <v>3700</v>
      </c>
      <c r="X1017" t="s">
        <v>1465</v>
      </c>
      <c r="Y1017" t="s">
        <v>36</v>
      </c>
      <c r="Z1017" t="str">
        <f>"85256"</f>
        <v>85256</v>
      </c>
      <c r="AA1017" t="str">
        <f>""</f>
        <v/>
      </c>
      <c r="AB1017" t="s">
        <v>282</v>
      </c>
    </row>
    <row r="1018" spans="1:28" x14ac:dyDescent="0.25">
      <c r="A1018">
        <v>4320</v>
      </c>
      <c r="B1018" t="str">
        <f>"078656000"</f>
        <v>078656000</v>
      </c>
      <c r="C1018" t="s">
        <v>3696</v>
      </c>
      <c r="D1018">
        <v>5489</v>
      </c>
      <c r="E1018" t="str">
        <f>"078656001"</f>
        <v>078656001</v>
      </c>
      <c r="F1018" t="s">
        <v>3701</v>
      </c>
      <c r="G1018" t="s">
        <v>42</v>
      </c>
      <c r="H1018" t="s">
        <v>2845</v>
      </c>
      <c r="I1018" t="s">
        <v>3697</v>
      </c>
      <c r="J1018" t="s">
        <v>3702</v>
      </c>
      <c r="K1018" t="str">
        <f>"4803622077"</f>
        <v>4803622077</v>
      </c>
      <c r="L1018" t="str">
        <f>""</f>
        <v/>
      </c>
      <c r="M1018" t="str">
        <f>"4803622091"</f>
        <v>4803622091</v>
      </c>
      <c r="N1018" t="str">
        <f>""</f>
        <v/>
      </c>
      <c r="O1018" t="s">
        <v>3703</v>
      </c>
      <c r="P1018" t="s">
        <v>3704</v>
      </c>
      <c r="R1018" t="s">
        <v>1465</v>
      </c>
      <c r="S1018" t="s">
        <v>36</v>
      </c>
      <c r="T1018" t="str">
        <f>"85256"</f>
        <v>85256</v>
      </c>
      <c r="U1018" t="str">
        <f>""</f>
        <v/>
      </c>
      <c r="V1018" t="s">
        <v>3705</v>
      </c>
      <c r="X1018" t="s">
        <v>1465</v>
      </c>
      <c r="Y1018" t="s">
        <v>36</v>
      </c>
      <c r="Z1018" t="str">
        <f>"85256"</f>
        <v>85256</v>
      </c>
      <c r="AA1018" t="str">
        <f>""</f>
        <v/>
      </c>
      <c r="AB1018" t="s">
        <v>282</v>
      </c>
    </row>
    <row r="1019" spans="1:28" x14ac:dyDescent="0.25">
      <c r="A1019">
        <v>4320</v>
      </c>
      <c r="B1019" t="str">
        <f>"078656000"</f>
        <v>078656000</v>
      </c>
      <c r="C1019" t="s">
        <v>3696</v>
      </c>
      <c r="D1019">
        <v>81170</v>
      </c>
      <c r="E1019" t="str">
        <f>"093906013"</f>
        <v>093906013</v>
      </c>
      <c r="F1019" t="s">
        <v>3706</v>
      </c>
      <c r="G1019" t="s">
        <v>42</v>
      </c>
      <c r="H1019" t="s">
        <v>1318</v>
      </c>
      <c r="I1019" t="s">
        <v>2957</v>
      </c>
      <c r="J1019" t="s">
        <v>118</v>
      </c>
      <c r="K1019" t="str">
        <f>"4803622242"</f>
        <v>4803622242</v>
      </c>
      <c r="L1019" t="str">
        <f>""</f>
        <v/>
      </c>
      <c r="M1019" t="str">
        <f>"4803622242"</f>
        <v>4803622242</v>
      </c>
      <c r="N1019" t="str">
        <f>""</f>
        <v/>
      </c>
      <c r="O1019" t="s">
        <v>3707</v>
      </c>
      <c r="P1019" t="s">
        <v>3699</v>
      </c>
      <c r="R1019" t="s">
        <v>1465</v>
      </c>
      <c r="S1019" t="s">
        <v>36</v>
      </c>
      <c r="T1019" t="str">
        <f>"85256"</f>
        <v>85256</v>
      </c>
      <c r="U1019" t="str">
        <f>""</f>
        <v/>
      </c>
      <c r="V1019" t="s">
        <v>3708</v>
      </c>
      <c r="X1019" t="s">
        <v>1465</v>
      </c>
      <c r="Y1019" t="s">
        <v>36</v>
      </c>
      <c r="Z1019" t="str">
        <f>"85256"</f>
        <v>85256</v>
      </c>
      <c r="AA1019" t="str">
        <f>""</f>
        <v/>
      </c>
      <c r="AB1019" t="s">
        <v>282</v>
      </c>
    </row>
    <row r="1020" spans="1:28" x14ac:dyDescent="0.25">
      <c r="A1020">
        <v>4320</v>
      </c>
      <c r="B1020" t="str">
        <f>"078656000"</f>
        <v>078656000</v>
      </c>
      <c r="C1020" t="s">
        <v>3696</v>
      </c>
      <c r="D1020">
        <v>81172</v>
      </c>
      <c r="E1020" t="str">
        <f>"079101001"</f>
        <v>079101001</v>
      </c>
      <c r="F1020" t="s">
        <v>3709</v>
      </c>
      <c r="G1020" t="s">
        <v>42</v>
      </c>
      <c r="H1020" t="s">
        <v>2845</v>
      </c>
      <c r="I1020" t="s">
        <v>3697</v>
      </c>
      <c r="J1020" t="s">
        <v>195</v>
      </c>
      <c r="K1020" t="str">
        <f>"4803622077"</f>
        <v>4803622077</v>
      </c>
      <c r="L1020" t="str">
        <f>""</f>
        <v/>
      </c>
      <c r="M1020" t="str">
        <f>"4803622244"</f>
        <v>4803622244</v>
      </c>
      <c r="N1020" t="str">
        <f>""</f>
        <v/>
      </c>
      <c r="O1020" t="s">
        <v>3698</v>
      </c>
      <c r="P1020" t="s">
        <v>3699</v>
      </c>
      <c r="R1020" t="s">
        <v>1465</v>
      </c>
      <c r="S1020" t="s">
        <v>36</v>
      </c>
      <c r="T1020" t="str">
        <f>"85256"</f>
        <v>85256</v>
      </c>
      <c r="U1020" t="str">
        <f>""</f>
        <v/>
      </c>
      <c r="V1020" t="s">
        <v>3710</v>
      </c>
      <c r="X1020" t="s">
        <v>1465</v>
      </c>
      <c r="Y1020" t="s">
        <v>36</v>
      </c>
      <c r="Z1020" t="str">
        <f>"85256"</f>
        <v>85256</v>
      </c>
      <c r="AA1020" t="str">
        <f>""</f>
        <v/>
      </c>
      <c r="AB1020" t="s">
        <v>282</v>
      </c>
    </row>
    <row r="1021" spans="1:28" x14ac:dyDescent="0.25">
      <c r="A1021">
        <v>4320</v>
      </c>
      <c r="B1021" t="str">
        <f>"078656000"</f>
        <v>078656000</v>
      </c>
      <c r="C1021" t="s">
        <v>3696</v>
      </c>
      <c r="D1021">
        <v>90159</v>
      </c>
      <c r="E1021" t="str">
        <f>"078656002"</f>
        <v>078656002</v>
      </c>
      <c r="F1021" t="s">
        <v>3711</v>
      </c>
      <c r="G1021" t="s">
        <v>42</v>
      </c>
      <c r="H1021" t="s">
        <v>2845</v>
      </c>
      <c r="I1021" t="s">
        <v>3697</v>
      </c>
      <c r="J1021" t="s">
        <v>3712</v>
      </c>
      <c r="K1021" t="str">
        <f>"4803622077"</f>
        <v>4803622077</v>
      </c>
      <c r="L1021" t="str">
        <f>""</f>
        <v/>
      </c>
      <c r="M1021" t="str">
        <f>"4803622091"</f>
        <v>4803622091</v>
      </c>
      <c r="N1021" t="str">
        <f>""</f>
        <v/>
      </c>
      <c r="O1021" t="s">
        <v>3713</v>
      </c>
      <c r="P1021" t="s">
        <v>3699</v>
      </c>
      <c r="R1021" t="s">
        <v>1465</v>
      </c>
      <c r="S1021" t="s">
        <v>36</v>
      </c>
      <c r="T1021" t="str">
        <f>"85256"</f>
        <v>85256</v>
      </c>
      <c r="U1021" t="str">
        <f>""</f>
        <v/>
      </c>
      <c r="V1021" t="s">
        <v>3714</v>
      </c>
      <c r="X1021" t="s">
        <v>1465</v>
      </c>
      <c r="Y1021" t="s">
        <v>36</v>
      </c>
      <c r="Z1021" t="str">
        <f>"85256"</f>
        <v>85256</v>
      </c>
      <c r="AA1021" t="str">
        <f>""</f>
        <v/>
      </c>
      <c r="AB1021" t="s">
        <v>282</v>
      </c>
    </row>
    <row r="1022" spans="1:28" x14ac:dyDescent="0.25">
      <c r="A1022">
        <v>4325</v>
      </c>
      <c r="B1022" t="str">
        <f>"078701000"</f>
        <v>078701000</v>
      </c>
      <c r="C1022" t="s">
        <v>3715</v>
      </c>
      <c r="D1022">
        <v>0</v>
      </c>
      <c r="E1022" t="str">
        <f>""</f>
        <v/>
      </c>
      <c r="G1022" t="s">
        <v>29</v>
      </c>
      <c r="H1022" t="s">
        <v>3485</v>
      </c>
      <c r="I1022" t="s">
        <v>771</v>
      </c>
      <c r="J1022" t="s">
        <v>3716</v>
      </c>
      <c r="K1022" t="str">
        <f>"6236285054"</f>
        <v>6236285054</v>
      </c>
      <c r="L1022" t="str">
        <f>""</f>
        <v/>
      </c>
      <c r="M1022" t="str">
        <f>"6236916091"</f>
        <v>6236916091</v>
      </c>
      <c r="N1022" t="str">
        <f>""</f>
        <v/>
      </c>
      <c r="O1022" t="s">
        <v>3717</v>
      </c>
      <c r="P1022" t="s">
        <v>3718</v>
      </c>
      <c r="R1022" t="s">
        <v>964</v>
      </c>
      <c r="S1022" t="s">
        <v>36</v>
      </c>
      <c r="T1022" t="str">
        <f>"85033"</f>
        <v>85033</v>
      </c>
      <c r="U1022" t="str">
        <f>"3009"</f>
        <v>3009</v>
      </c>
      <c r="V1022" t="s">
        <v>3718</v>
      </c>
      <c r="X1022" t="s">
        <v>964</v>
      </c>
      <c r="Y1022" t="s">
        <v>36</v>
      </c>
      <c r="Z1022" t="str">
        <f>"85033"</f>
        <v>85033</v>
      </c>
      <c r="AA1022" t="str">
        <f>"3009"</f>
        <v>3009</v>
      </c>
      <c r="AB1022" t="s">
        <v>632</v>
      </c>
    </row>
    <row r="1023" spans="1:28" x14ac:dyDescent="0.25">
      <c r="A1023">
        <v>4325</v>
      </c>
      <c r="B1023" t="str">
        <f>"078701000"</f>
        <v>078701000</v>
      </c>
      <c r="C1023" t="s">
        <v>3715</v>
      </c>
      <c r="D1023">
        <v>5496</v>
      </c>
      <c r="E1023" t="str">
        <f>"078701101"</f>
        <v>078701101</v>
      </c>
      <c r="F1023" t="s">
        <v>3719</v>
      </c>
      <c r="G1023" t="s">
        <v>42</v>
      </c>
      <c r="H1023" t="s">
        <v>3485</v>
      </c>
      <c r="I1023" t="s">
        <v>771</v>
      </c>
      <c r="J1023" t="s">
        <v>3720</v>
      </c>
      <c r="K1023" t="str">
        <f>"6233858953"</f>
        <v>6233858953</v>
      </c>
      <c r="L1023" t="str">
        <f>""</f>
        <v/>
      </c>
      <c r="M1023" t="str">
        <f>"6236916091"</f>
        <v>6236916091</v>
      </c>
      <c r="N1023" t="str">
        <f>""</f>
        <v/>
      </c>
      <c r="O1023" t="s">
        <v>3717</v>
      </c>
      <c r="P1023" t="s">
        <v>3718</v>
      </c>
      <c r="R1023" t="s">
        <v>964</v>
      </c>
      <c r="S1023" t="s">
        <v>36</v>
      </c>
      <c r="T1023" t="str">
        <f>"85033"</f>
        <v>85033</v>
      </c>
      <c r="U1023" t="str">
        <f>"3009"</f>
        <v>3009</v>
      </c>
      <c r="V1023" t="s">
        <v>3718</v>
      </c>
      <c r="X1023" t="s">
        <v>964</v>
      </c>
      <c r="Y1023" t="s">
        <v>36</v>
      </c>
      <c r="Z1023" t="str">
        <f>"85033"</f>
        <v>85033</v>
      </c>
      <c r="AA1023" t="str">
        <f>"3009"</f>
        <v>3009</v>
      </c>
      <c r="AB1023" t="s">
        <v>632</v>
      </c>
    </row>
    <row r="1024" spans="1:28" x14ac:dyDescent="0.25">
      <c r="A1024">
        <v>4335</v>
      </c>
      <c r="B1024" t="str">
        <f>"078711000"</f>
        <v>078711000</v>
      </c>
      <c r="C1024" t="s">
        <v>3721</v>
      </c>
      <c r="D1024">
        <v>0</v>
      </c>
      <c r="E1024" t="str">
        <f>""</f>
        <v/>
      </c>
      <c r="G1024" t="s">
        <v>29</v>
      </c>
      <c r="H1024" t="s">
        <v>3722</v>
      </c>
      <c r="I1024" t="s">
        <v>394</v>
      </c>
      <c r="J1024" t="s">
        <v>32</v>
      </c>
      <c r="K1024" t="str">
        <f>"6027257971"</f>
        <v>6027257971</v>
      </c>
      <c r="L1024" t="str">
        <f>""</f>
        <v/>
      </c>
      <c r="M1024" t="str">
        <f>"6022437788"</f>
        <v>6022437788</v>
      </c>
      <c r="N1024" t="str">
        <f>""</f>
        <v/>
      </c>
      <c r="O1024" t="s">
        <v>3723</v>
      </c>
      <c r="P1024" t="s">
        <v>3724</v>
      </c>
      <c r="R1024" t="s">
        <v>964</v>
      </c>
      <c r="S1024" t="s">
        <v>36</v>
      </c>
      <c r="T1024" t="str">
        <f>"85040"</f>
        <v>85040</v>
      </c>
      <c r="U1024" t="str">
        <f>""</f>
        <v/>
      </c>
      <c r="V1024" t="s">
        <v>3724</v>
      </c>
      <c r="X1024" t="s">
        <v>964</v>
      </c>
      <c r="Y1024" t="s">
        <v>36</v>
      </c>
      <c r="Z1024" t="str">
        <f>"85040"</f>
        <v>85040</v>
      </c>
      <c r="AA1024" t="str">
        <f>""</f>
        <v/>
      </c>
      <c r="AB1024" t="s">
        <v>516</v>
      </c>
    </row>
    <row r="1025" spans="1:28" x14ac:dyDescent="0.25">
      <c r="A1025">
        <v>4335</v>
      </c>
      <c r="B1025" t="str">
        <f>"078711000"</f>
        <v>078711000</v>
      </c>
      <c r="C1025" t="s">
        <v>3721</v>
      </c>
      <c r="D1025">
        <v>5507</v>
      </c>
      <c r="E1025" t="str">
        <f>"078711001"</f>
        <v>078711001</v>
      </c>
      <c r="F1025" t="s">
        <v>3725</v>
      </c>
      <c r="G1025" t="s">
        <v>42</v>
      </c>
      <c r="H1025" t="s">
        <v>3722</v>
      </c>
      <c r="I1025" t="s">
        <v>394</v>
      </c>
      <c r="J1025" t="s">
        <v>32</v>
      </c>
      <c r="K1025" t="str">
        <f>"6027257971"</f>
        <v>6027257971</v>
      </c>
      <c r="L1025" t="str">
        <f>""</f>
        <v/>
      </c>
      <c r="M1025" t="str">
        <f>"6022437799"</f>
        <v>6022437799</v>
      </c>
      <c r="N1025" t="str">
        <f>""</f>
        <v/>
      </c>
      <c r="O1025" t="s">
        <v>3726</v>
      </c>
      <c r="P1025" t="s">
        <v>3724</v>
      </c>
      <c r="R1025" t="s">
        <v>964</v>
      </c>
      <c r="S1025" t="s">
        <v>36</v>
      </c>
      <c r="T1025" t="str">
        <f>"85040"</f>
        <v>85040</v>
      </c>
      <c r="U1025" t="str">
        <f>""</f>
        <v/>
      </c>
      <c r="V1025" t="s">
        <v>3724</v>
      </c>
      <c r="X1025" t="s">
        <v>964</v>
      </c>
      <c r="Y1025" t="s">
        <v>36</v>
      </c>
      <c r="Z1025" t="str">
        <f>"85040"</f>
        <v>85040</v>
      </c>
      <c r="AA1025" t="str">
        <f>""</f>
        <v/>
      </c>
      <c r="AB1025" t="s">
        <v>516</v>
      </c>
    </row>
    <row r="1026" spans="1:28" x14ac:dyDescent="0.25">
      <c r="A1026">
        <v>4338</v>
      </c>
      <c r="B1026" t="str">
        <f>"078714000"</f>
        <v>078714000</v>
      </c>
      <c r="C1026" t="s">
        <v>3727</v>
      </c>
      <c r="D1026">
        <v>0</v>
      </c>
      <c r="E1026" t="str">
        <f>""</f>
        <v/>
      </c>
      <c r="G1026" t="s">
        <v>29</v>
      </c>
      <c r="H1026" t="s">
        <v>3728</v>
      </c>
      <c r="I1026" t="s">
        <v>3729</v>
      </c>
      <c r="J1026" t="s">
        <v>3730</v>
      </c>
      <c r="K1026" t="str">
        <f>"6022638777"</f>
        <v>6022638777</v>
      </c>
      <c r="L1026" t="str">
        <f>"7211"</f>
        <v>7211</v>
      </c>
      <c r="M1026" t="str">
        <f>"6027920495"</f>
        <v>6027920495</v>
      </c>
      <c r="N1026" t="str">
        <f>""</f>
        <v/>
      </c>
      <c r="O1026" t="s">
        <v>3731</v>
      </c>
      <c r="P1026" t="s">
        <v>3732</v>
      </c>
      <c r="R1026" t="s">
        <v>964</v>
      </c>
      <c r="S1026" t="s">
        <v>36</v>
      </c>
      <c r="T1026" t="str">
        <f>"85016"</f>
        <v>85016</v>
      </c>
      <c r="U1026" t="str">
        <f>""</f>
        <v/>
      </c>
      <c r="V1026" t="s">
        <v>3732</v>
      </c>
      <c r="X1026" t="s">
        <v>964</v>
      </c>
      <c r="Y1026" t="s">
        <v>36</v>
      </c>
      <c r="Z1026" t="str">
        <f>"85016"</f>
        <v>85016</v>
      </c>
      <c r="AA1026" t="str">
        <f>""</f>
        <v/>
      </c>
      <c r="AB1026" t="s">
        <v>821</v>
      </c>
    </row>
    <row r="1027" spans="1:28" x14ac:dyDescent="0.25">
      <c r="A1027">
        <v>4338</v>
      </c>
      <c r="B1027" t="str">
        <f>"078714000"</f>
        <v>078714000</v>
      </c>
      <c r="C1027" t="s">
        <v>3727</v>
      </c>
      <c r="D1027">
        <v>5512</v>
      </c>
      <c r="E1027" t="str">
        <f>"078714001"</f>
        <v>078714001</v>
      </c>
      <c r="F1027" t="s">
        <v>3733</v>
      </c>
      <c r="G1027" t="s">
        <v>42</v>
      </c>
      <c r="H1027" t="s">
        <v>1949</v>
      </c>
      <c r="I1027" t="s">
        <v>473</v>
      </c>
      <c r="J1027" t="s">
        <v>3734</v>
      </c>
      <c r="K1027" t="str">
        <f>"6022638777"</f>
        <v>6022638777</v>
      </c>
      <c r="L1027" t="str">
        <f>"7209"</f>
        <v>7209</v>
      </c>
      <c r="M1027" t="str">
        <f>"6022638822"</f>
        <v>6022638822</v>
      </c>
      <c r="N1027" t="str">
        <f>""</f>
        <v/>
      </c>
      <c r="O1027" t="s">
        <v>3735</v>
      </c>
      <c r="P1027" t="s">
        <v>3736</v>
      </c>
      <c r="R1027" t="s">
        <v>964</v>
      </c>
      <c r="S1027" t="s">
        <v>36</v>
      </c>
      <c r="T1027" t="str">
        <f>"85016"</f>
        <v>85016</v>
      </c>
      <c r="U1027" t="str">
        <f>""</f>
        <v/>
      </c>
      <c r="V1027" t="s">
        <v>3736</v>
      </c>
      <c r="X1027" t="s">
        <v>964</v>
      </c>
      <c r="Y1027" t="s">
        <v>36</v>
      </c>
      <c r="Z1027" t="str">
        <f>"85016"</f>
        <v>85016</v>
      </c>
      <c r="AA1027" t="str">
        <f>""</f>
        <v/>
      </c>
      <c r="AB1027" t="s">
        <v>821</v>
      </c>
    </row>
    <row r="1028" spans="1:28" x14ac:dyDescent="0.25">
      <c r="A1028">
        <v>4341</v>
      </c>
      <c r="B1028" t="str">
        <f>"078717000"</f>
        <v>078717000</v>
      </c>
      <c r="C1028" t="s">
        <v>3737</v>
      </c>
      <c r="D1028">
        <v>0</v>
      </c>
      <c r="E1028" t="str">
        <f>""</f>
        <v/>
      </c>
      <c r="G1028" t="s">
        <v>29</v>
      </c>
      <c r="H1028" t="s">
        <v>1874</v>
      </c>
      <c r="I1028" t="s">
        <v>3738</v>
      </c>
      <c r="J1028" t="s">
        <v>1748</v>
      </c>
      <c r="K1028" t="str">
        <f>"6029738998"</f>
        <v>6029738998</v>
      </c>
      <c r="L1028" t="str">
        <f>""</f>
        <v/>
      </c>
      <c r="M1028" t="str">
        <f>"6029735510"</f>
        <v>6029735510</v>
      </c>
      <c r="N1028" t="str">
        <f>""</f>
        <v/>
      </c>
      <c r="O1028" t="s">
        <v>3739</v>
      </c>
      <c r="P1028" t="s">
        <v>3740</v>
      </c>
      <c r="R1028" t="s">
        <v>964</v>
      </c>
      <c r="S1028" t="s">
        <v>36</v>
      </c>
      <c r="T1028" t="str">
        <f>"85051"</f>
        <v>85051</v>
      </c>
      <c r="U1028" t="str">
        <f>""</f>
        <v/>
      </c>
      <c r="V1028" t="s">
        <v>3740</v>
      </c>
      <c r="X1028" t="s">
        <v>964</v>
      </c>
      <c r="Y1028" t="s">
        <v>36</v>
      </c>
      <c r="Z1028" t="str">
        <f>"85051"</f>
        <v>85051</v>
      </c>
      <c r="AA1028" t="str">
        <f>""</f>
        <v/>
      </c>
      <c r="AB1028" t="s">
        <v>3741</v>
      </c>
    </row>
    <row r="1029" spans="1:28" x14ac:dyDescent="0.25">
      <c r="A1029">
        <v>4341</v>
      </c>
      <c r="B1029" t="str">
        <f>"078717000"</f>
        <v>078717000</v>
      </c>
      <c r="C1029" t="s">
        <v>3737</v>
      </c>
      <c r="D1029">
        <v>10752</v>
      </c>
      <c r="E1029" t="str">
        <f>"078717102"</f>
        <v>078717102</v>
      </c>
      <c r="F1029" t="s">
        <v>3742</v>
      </c>
      <c r="G1029" t="s">
        <v>42</v>
      </c>
      <c r="H1029" t="s">
        <v>1874</v>
      </c>
      <c r="I1029" t="s">
        <v>3738</v>
      </c>
      <c r="J1029" t="s">
        <v>307</v>
      </c>
      <c r="K1029" t="str">
        <f>"6029738998"</f>
        <v>6029738998</v>
      </c>
      <c r="L1029" t="str">
        <f>""</f>
        <v/>
      </c>
      <c r="M1029" t="str">
        <f>"6029735510"</f>
        <v>6029735510</v>
      </c>
      <c r="N1029" t="str">
        <f>""</f>
        <v/>
      </c>
      <c r="O1029" t="s">
        <v>3739</v>
      </c>
      <c r="P1029" t="s">
        <v>3740</v>
      </c>
      <c r="R1029" t="s">
        <v>964</v>
      </c>
      <c r="S1029" t="s">
        <v>36</v>
      </c>
      <c r="T1029" t="str">
        <f>"85051"</f>
        <v>85051</v>
      </c>
      <c r="U1029" t="str">
        <f>""</f>
        <v/>
      </c>
      <c r="V1029" t="s">
        <v>3740</v>
      </c>
      <c r="X1029" t="s">
        <v>964</v>
      </c>
      <c r="Y1029" t="s">
        <v>36</v>
      </c>
      <c r="Z1029" t="str">
        <f>"85051"</f>
        <v>85051</v>
      </c>
      <c r="AA1029" t="str">
        <f>""</f>
        <v/>
      </c>
      <c r="AB1029" t="s">
        <v>3741</v>
      </c>
    </row>
    <row r="1030" spans="1:28" x14ac:dyDescent="0.25">
      <c r="A1030">
        <v>4342</v>
      </c>
      <c r="B1030" t="str">
        <f>"078718000"</f>
        <v>078718000</v>
      </c>
      <c r="C1030" t="s">
        <v>3743</v>
      </c>
      <c r="D1030">
        <v>0</v>
      </c>
      <c r="E1030" t="str">
        <f>""</f>
        <v/>
      </c>
      <c r="G1030" t="s">
        <v>29</v>
      </c>
      <c r="H1030" t="s">
        <v>3744</v>
      </c>
      <c r="I1030" t="s">
        <v>590</v>
      </c>
      <c r="J1030" t="s">
        <v>3745</v>
      </c>
      <c r="K1030" t="str">
        <f>"6029532933"</f>
        <v>6029532933</v>
      </c>
      <c r="L1030" t="str">
        <f>""</f>
        <v/>
      </c>
      <c r="M1030" t="str">
        <f>""</f>
        <v/>
      </c>
      <c r="N1030" t="str">
        <f>""</f>
        <v/>
      </c>
      <c r="O1030" t="s">
        <v>3746</v>
      </c>
      <c r="P1030" t="s">
        <v>3747</v>
      </c>
      <c r="R1030" t="s">
        <v>964</v>
      </c>
      <c r="S1030" t="s">
        <v>36</v>
      </c>
      <c r="T1030" t="str">
        <f>"85020"</f>
        <v>85020</v>
      </c>
      <c r="U1030" t="str">
        <f>""</f>
        <v/>
      </c>
      <c r="V1030" t="s">
        <v>3747</v>
      </c>
      <c r="X1030" t="s">
        <v>964</v>
      </c>
      <c r="Y1030" t="s">
        <v>36</v>
      </c>
      <c r="Z1030" t="str">
        <f>"85020"</f>
        <v>85020</v>
      </c>
      <c r="AA1030" t="str">
        <f>""</f>
        <v/>
      </c>
      <c r="AB1030" t="s">
        <v>1466</v>
      </c>
    </row>
    <row r="1031" spans="1:28" x14ac:dyDescent="0.25">
      <c r="A1031">
        <v>4342</v>
      </c>
      <c r="B1031" t="str">
        <f>"078718000"</f>
        <v>078718000</v>
      </c>
      <c r="C1031" t="s">
        <v>3743</v>
      </c>
      <c r="D1031">
        <v>78899</v>
      </c>
      <c r="E1031" t="str">
        <f>"078718212"</f>
        <v>078718212</v>
      </c>
      <c r="F1031" t="s">
        <v>3743</v>
      </c>
      <c r="G1031" t="s">
        <v>42</v>
      </c>
      <c r="H1031" t="s">
        <v>1332</v>
      </c>
      <c r="I1031" t="s">
        <v>3748</v>
      </c>
      <c r="J1031" t="s">
        <v>301</v>
      </c>
      <c r="K1031" t="str">
        <f>"4807269536"</f>
        <v>4807269536</v>
      </c>
      <c r="L1031" t="str">
        <f>""</f>
        <v/>
      </c>
      <c r="M1031" t="str">
        <f>"4807269543"</f>
        <v>4807269543</v>
      </c>
      <c r="N1031" t="str">
        <f>""</f>
        <v/>
      </c>
      <c r="O1031" t="s">
        <v>3749</v>
      </c>
      <c r="P1031" t="s">
        <v>3750</v>
      </c>
      <c r="R1031" t="s">
        <v>1041</v>
      </c>
      <c r="S1031" t="s">
        <v>36</v>
      </c>
      <c r="T1031" t="str">
        <f>"85225"</f>
        <v>85225</v>
      </c>
      <c r="U1031" t="str">
        <f>""</f>
        <v/>
      </c>
      <c r="V1031" t="s">
        <v>3750</v>
      </c>
      <c r="X1031" t="s">
        <v>1041</v>
      </c>
      <c r="Y1031" t="s">
        <v>36</v>
      </c>
      <c r="Z1031" t="str">
        <f>"85225"</f>
        <v>85225</v>
      </c>
      <c r="AA1031" t="str">
        <f>""</f>
        <v/>
      </c>
      <c r="AB1031" t="s">
        <v>1466</v>
      </c>
    </row>
    <row r="1032" spans="1:28" x14ac:dyDescent="0.25">
      <c r="A1032">
        <v>4342</v>
      </c>
      <c r="B1032" t="str">
        <f>"078718000"</f>
        <v>078718000</v>
      </c>
      <c r="C1032" t="s">
        <v>3743</v>
      </c>
      <c r="D1032">
        <v>92246</v>
      </c>
      <c r="E1032" t="str">
        <f>"078718215"</f>
        <v>078718215</v>
      </c>
      <c r="F1032" t="s">
        <v>3751</v>
      </c>
      <c r="G1032" t="s">
        <v>42</v>
      </c>
      <c r="H1032" t="s">
        <v>3752</v>
      </c>
      <c r="I1032" t="s">
        <v>3753</v>
      </c>
      <c r="J1032" t="s">
        <v>301</v>
      </c>
      <c r="K1032" t="str">
        <f>"6028411221"</f>
        <v>6028411221</v>
      </c>
      <c r="L1032" t="str">
        <f>""</f>
        <v/>
      </c>
      <c r="M1032" t="str">
        <f>"6028411364"</f>
        <v>6028411364</v>
      </c>
      <c r="N1032" t="str">
        <f>""</f>
        <v/>
      </c>
      <c r="O1032" t="s">
        <v>3754</v>
      </c>
      <c r="P1032" t="s">
        <v>3755</v>
      </c>
      <c r="R1032" t="s">
        <v>964</v>
      </c>
      <c r="S1032" t="s">
        <v>36</v>
      </c>
      <c r="T1032" t="str">
        <f>"85031"</f>
        <v>85031</v>
      </c>
      <c r="U1032" t="str">
        <f>""</f>
        <v/>
      </c>
      <c r="V1032" t="s">
        <v>3755</v>
      </c>
      <c r="X1032" t="s">
        <v>964</v>
      </c>
      <c r="Y1032" t="s">
        <v>36</v>
      </c>
      <c r="Z1032" t="str">
        <f>"85031"</f>
        <v>85031</v>
      </c>
      <c r="AA1032" t="str">
        <f>""</f>
        <v/>
      </c>
      <c r="AB1032" t="s">
        <v>1466</v>
      </c>
    </row>
    <row r="1033" spans="1:28" x14ac:dyDescent="0.25">
      <c r="A1033">
        <v>4348</v>
      </c>
      <c r="B1033" t="str">
        <f>"078725000"</f>
        <v>078725000</v>
      </c>
      <c r="C1033" t="s">
        <v>3756</v>
      </c>
      <c r="D1033">
        <v>0</v>
      </c>
      <c r="E1033" t="str">
        <f>""</f>
        <v/>
      </c>
      <c r="G1033" t="s">
        <v>29</v>
      </c>
      <c r="H1033" t="s">
        <v>1888</v>
      </c>
      <c r="I1033" t="s">
        <v>3757</v>
      </c>
      <c r="J1033" t="s">
        <v>3758</v>
      </c>
      <c r="K1033" t="str">
        <f>"4804202101"</f>
        <v>4804202101</v>
      </c>
      <c r="L1033" t="str">
        <f>""</f>
        <v/>
      </c>
      <c r="M1033" t="str">
        <f>""</f>
        <v/>
      </c>
      <c r="N1033" t="str">
        <f>""</f>
        <v/>
      </c>
      <c r="O1033" t="s">
        <v>3759</v>
      </c>
      <c r="P1033" t="s">
        <v>3760</v>
      </c>
      <c r="R1033" t="s">
        <v>1772</v>
      </c>
      <c r="S1033" t="s">
        <v>36</v>
      </c>
      <c r="T1033" t="str">
        <f>"85142"</f>
        <v>85142</v>
      </c>
      <c r="U1033" t="str">
        <f>""</f>
        <v/>
      </c>
      <c r="V1033" t="s">
        <v>3760</v>
      </c>
      <c r="X1033" t="s">
        <v>1772</v>
      </c>
      <c r="Y1033" t="s">
        <v>36</v>
      </c>
      <c r="Z1033" t="str">
        <f>"85142"</f>
        <v>85142</v>
      </c>
      <c r="AA1033" t="str">
        <f>""</f>
        <v/>
      </c>
      <c r="AB1033" t="s">
        <v>249</v>
      </c>
    </row>
    <row r="1034" spans="1:28" x14ac:dyDescent="0.25">
      <c r="A1034">
        <v>4348</v>
      </c>
      <c r="B1034" t="str">
        <f>"078725000"</f>
        <v>078725000</v>
      </c>
      <c r="C1034" t="s">
        <v>3756</v>
      </c>
      <c r="D1034">
        <v>91173</v>
      </c>
      <c r="E1034" t="str">
        <f>"078725003"</f>
        <v>078725003</v>
      </c>
      <c r="F1034" t="s">
        <v>3761</v>
      </c>
      <c r="G1034" t="s">
        <v>42</v>
      </c>
      <c r="H1034" t="s">
        <v>467</v>
      </c>
      <c r="I1034" t="s">
        <v>3762</v>
      </c>
      <c r="J1034" t="s">
        <v>3763</v>
      </c>
      <c r="K1034" t="str">
        <f>"4805122143"</f>
        <v>4805122143</v>
      </c>
      <c r="L1034" t="str">
        <f>""</f>
        <v/>
      </c>
      <c r="M1034" t="str">
        <f>""</f>
        <v/>
      </c>
      <c r="N1034" t="str">
        <f>""</f>
        <v/>
      </c>
      <c r="O1034" t="s">
        <v>3764</v>
      </c>
      <c r="P1034" t="s">
        <v>3765</v>
      </c>
      <c r="R1034" t="s">
        <v>1772</v>
      </c>
      <c r="S1034" t="s">
        <v>36</v>
      </c>
      <c r="T1034" t="str">
        <f>"85142"</f>
        <v>85142</v>
      </c>
      <c r="U1034" t="str">
        <f>""</f>
        <v/>
      </c>
      <c r="V1034" t="s">
        <v>3765</v>
      </c>
      <c r="X1034" t="s">
        <v>1772</v>
      </c>
      <c r="Y1034" t="s">
        <v>36</v>
      </c>
      <c r="Z1034" t="str">
        <f>"85142"</f>
        <v>85142</v>
      </c>
      <c r="AA1034" t="str">
        <f>""</f>
        <v/>
      </c>
      <c r="AB1034" t="s">
        <v>249</v>
      </c>
    </row>
    <row r="1035" spans="1:28" x14ac:dyDescent="0.25">
      <c r="A1035">
        <v>4348</v>
      </c>
      <c r="B1035" t="str">
        <f>"078725000"</f>
        <v>078725000</v>
      </c>
      <c r="C1035" t="s">
        <v>3756</v>
      </c>
      <c r="D1035">
        <v>92348</v>
      </c>
      <c r="E1035" t="str">
        <f>"078725006"</f>
        <v>078725006</v>
      </c>
      <c r="F1035" t="s">
        <v>3766</v>
      </c>
      <c r="G1035" t="s">
        <v>42</v>
      </c>
      <c r="H1035" t="s">
        <v>3767</v>
      </c>
      <c r="I1035" t="s">
        <v>3768</v>
      </c>
      <c r="J1035" t="s">
        <v>3763</v>
      </c>
      <c r="K1035" t="str">
        <f>"4802987664"</f>
        <v>4802987664</v>
      </c>
      <c r="L1035" t="str">
        <f>""</f>
        <v/>
      </c>
      <c r="M1035" t="str">
        <f>""</f>
        <v/>
      </c>
      <c r="N1035" t="str">
        <f>""</f>
        <v/>
      </c>
      <c r="O1035" t="s">
        <v>3769</v>
      </c>
      <c r="P1035" t="s">
        <v>3770</v>
      </c>
      <c r="R1035" t="s">
        <v>3771</v>
      </c>
      <c r="S1035" t="s">
        <v>36</v>
      </c>
      <c r="T1035" t="str">
        <f>"85132"</f>
        <v>85132</v>
      </c>
      <c r="U1035" t="str">
        <f>""</f>
        <v/>
      </c>
      <c r="V1035" t="s">
        <v>3770</v>
      </c>
      <c r="X1035" t="s">
        <v>3771</v>
      </c>
      <c r="Y1035" t="s">
        <v>36</v>
      </c>
      <c r="Z1035" t="str">
        <f>"85132"</f>
        <v>85132</v>
      </c>
      <c r="AA1035" t="str">
        <f>""</f>
        <v/>
      </c>
      <c r="AB1035" t="s">
        <v>249</v>
      </c>
    </row>
    <row r="1036" spans="1:28" x14ac:dyDescent="0.25">
      <c r="A1036">
        <v>4348</v>
      </c>
      <c r="B1036" t="str">
        <f>"078725000"</f>
        <v>078725000</v>
      </c>
      <c r="C1036" t="s">
        <v>3756</v>
      </c>
      <c r="D1036">
        <v>92885</v>
      </c>
      <c r="E1036" t="str">
        <f>"078725007"</f>
        <v>078725007</v>
      </c>
      <c r="F1036" t="s">
        <v>3772</v>
      </c>
      <c r="G1036" t="s">
        <v>42</v>
      </c>
      <c r="H1036" t="s">
        <v>2168</v>
      </c>
      <c r="I1036" t="s">
        <v>3773</v>
      </c>
      <c r="J1036" t="s">
        <v>3763</v>
      </c>
      <c r="K1036" t="str">
        <f>"4805169203"</f>
        <v>4805169203</v>
      </c>
      <c r="L1036" t="str">
        <f>""</f>
        <v/>
      </c>
      <c r="M1036" t="str">
        <f>""</f>
        <v/>
      </c>
      <c r="N1036" t="str">
        <f>""</f>
        <v/>
      </c>
      <c r="O1036" t="s">
        <v>3774</v>
      </c>
      <c r="P1036" t="s">
        <v>3775</v>
      </c>
      <c r="R1036" t="s">
        <v>1772</v>
      </c>
      <c r="S1036" t="s">
        <v>36</v>
      </c>
      <c r="T1036" t="str">
        <f>"85140"</f>
        <v>85140</v>
      </c>
      <c r="U1036" t="str">
        <f>""</f>
        <v/>
      </c>
      <c r="V1036" t="s">
        <v>3775</v>
      </c>
      <c r="X1036" t="s">
        <v>1772</v>
      </c>
      <c r="Y1036" t="s">
        <v>36</v>
      </c>
      <c r="Z1036" t="str">
        <f>"85140"</f>
        <v>85140</v>
      </c>
      <c r="AA1036" t="str">
        <f>""</f>
        <v/>
      </c>
      <c r="AB1036" t="s">
        <v>249</v>
      </c>
    </row>
    <row r="1037" spans="1:28" x14ac:dyDescent="0.25">
      <c r="A1037">
        <v>4348</v>
      </c>
      <c r="B1037" t="str">
        <f>"078725000"</f>
        <v>078725000</v>
      </c>
      <c r="C1037" t="s">
        <v>3756</v>
      </c>
      <c r="D1037">
        <v>242454</v>
      </c>
      <c r="E1037" t="str">
        <f>"078725010"</f>
        <v>078725010</v>
      </c>
      <c r="F1037" t="s">
        <v>3776</v>
      </c>
      <c r="G1037" t="s">
        <v>42</v>
      </c>
      <c r="H1037" t="s">
        <v>210</v>
      </c>
      <c r="I1037" t="s">
        <v>3777</v>
      </c>
      <c r="J1037" t="s">
        <v>3763</v>
      </c>
      <c r="K1037" t="str">
        <f>"9283019935"</f>
        <v>9283019935</v>
      </c>
      <c r="L1037" t="str">
        <f>""</f>
        <v/>
      </c>
      <c r="M1037" t="str">
        <f>""</f>
        <v/>
      </c>
      <c r="N1037" t="str">
        <f>""</f>
        <v/>
      </c>
      <c r="O1037" t="s">
        <v>3778</v>
      </c>
      <c r="P1037" t="s">
        <v>3779</v>
      </c>
      <c r="R1037" t="s">
        <v>1772</v>
      </c>
      <c r="S1037" t="s">
        <v>36</v>
      </c>
      <c r="T1037" t="str">
        <f>"85142"</f>
        <v>85142</v>
      </c>
      <c r="U1037" t="str">
        <f>""</f>
        <v/>
      </c>
      <c r="V1037" t="s">
        <v>3779</v>
      </c>
      <c r="X1037" t="s">
        <v>1772</v>
      </c>
      <c r="Y1037" t="s">
        <v>36</v>
      </c>
      <c r="Z1037" t="str">
        <f>"85142"</f>
        <v>85142</v>
      </c>
      <c r="AA1037" t="str">
        <f>""</f>
        <v/>
      </c>
      <c r="AB1037" t="s">
        <v>249</v>
      </c>
    </row>
    <row r="1038" spans="1:28" x14ac:dyDescent="0.25">
      <c r="A1038">
        <v>4358</v>
      </c>
      <c r="B1038" t="str">
        <f>"078757000"</f>
        <v>078757000</v>
      </c>
      <c r="C1038" t="s">
        <v>3780</v>
      </c>
      <c r="D1038">
        <v>0</v>
      </c>
      <c r="E1038" t="str">
        <f>""</f>
        <v/>
      </c>
      <c r="G1038" t="s">
        <v>29</v>
      </c>
      <c r="H1038" t="s">
        <v>3161</v>
      </c>
      <c r="I1038" t="s">
        <v>332</v>
      </c>
      <c r="J1038" t="s">
        <v>493</v>
      </c>
      <c r="K1038" t="str">
        <f>"6022437583"</f>
        <v>6022437583</v>
      </c>
      <c r="L1038" t="str">
        <f>""</f>
        <v/>
      </c>
      <c r="M1038" t="str">
        <f>"6022437563"</f>
        <v>6022437563</v>
      </c>
      <c r="N1038" t="str">
        <f>""</f>
        <v/>
      </c>
      <c r="O1038" t="s">
        <v>3781</v>
      </c>
      <c r="P1038" t="s">
        <v>3782</v>
      </c>
      <c r="R1038" t="s">
        <v>964</v>
      </c>
      <c r="S1038" t="s">
        <v>36</v>
      </c>
      <c r="T1038" t="str">
        <f>"85041"</f>
        <v>85041</v>
      </c>
      <c r="U1038" t="str">
        <f>""</f>
        <v/>
      </c>
      <c r="V1038" t="s">
        <v>3782</v>
      </c>
      <c r="X1038" t="s">
        <v>964</v>
      </c>
      <c r="Y1038" t="s">
        <v>36</v>
      </c>
      <c r="Z1038" t="str">
        <f>"85041"</f>
        <v>85041</v>
      </c>
      <c r="AA1038" t="str">
        <f>""</f>
        <v/>
      </c>
      <c r="AB1038" t="s">
        <v>282</v>
      </c>
    </row>
    <row r="1039" spans="1:28" x14ac:dyDescent="0.25">
      <c r="A1039">
        <v>4358</v>
      </c>
      <c r="B1039" t="str">
        <f>"078757000"</f>
        <v>078757000</v>
      </c>
      <c r="C1039" t="s">
        <v>3780</v>
      </c>
      <c r="D1039">
        <v>78822</v>
      </c>
      <c r="E1039" t="str">
        <f>"078757202"</f>
        <v>078757202</v>
      </c>
      <c r="F1039" t="s">
        <v>3783</v>
      </c>
      <c r="G1039" t="s">
        <v>42</v>
      </c>
      <c r="H1039" t="s">
        <v>3161</v>
      </c>
      <c r="I1039" t="s">
        <v>332</v>
      </c>
      <c r="J1039" t="s">
        <v>493</v>
      </c>
      <c r="K1039" t="str">
        <f>"6022437583"</f>
        <v>6022437583</v>
      </c>
      <c r="L1039" t="str">
        <f>""</f>
        <v/>
      </c>
      <c r="M1039" t="str">
        <f>"6022437563"</f>
        <v>6022437563</v>
      </c>
      <c r="N1039" t="str">
        <f>""</f>
        <v/>
      </c>
      <c r="O1039" t="s">
        <v>3781</v>
      </c>
      <c r="P1039" t="s">
        <v>3782</v>
      </c>
      <c r="R1039" t="s">
        <v>964</v>
      </c>
      <c r="S1039" t="s">
        <v>36</v>
      </c>
      <c r="T1039" t="str">
        <f>"85041"</f>
        <v>85041</v>
      </c>
      <c r="U1039" t="str">
        <f>""</f>
        <v/>
      </c>
      <c r="V1039" t="s">
        <v>3782</v>
      </c>
      <c r="X1039" t="s">
        <v>964</v>
      </c>
      <c r="Y1039" t="s">
        <v>36</v>
      </c>
      <c r="Z1039" t="str">
        <f>"85041"</f>
        <v>85041</v>
      </c>
      <c r="AA1039" t="str">
        <f>""</f>
        <v/>
      </c>
      <c r="AB1039" t="s">
        <v>282</v>
      </c>
    </row>
    <row r="1040" spans="1:28" x14ac:dyDescent="0.25">
      <c r="A1040">
        <v>4366</v>
      </c>
      <c r="B1040" t="str">
        <f>"078771000"</f>
        <v>078771000</v>
      </c>
      <c r="C1040" t="s">
        <v>3784</v>
      </c>
      <c r="D1040">
        <v>0</v>
      </c>
      <c r="E1040" t="str">
        <f>""</f>
        <v/>
      </c>
      <c r="G1040" t="s">
        <v>29</v>
      </c>
      <c r="H1040" t="s">
        <v>3785</v>
      </c>
      <c r="I1040" t="s">
        <v>3786</v>
      </c>
      <c r="J1040" t="s">
        <v>3787</v>
      </c>
      <c r="K1040" t="str">
        <f>"4806557444"</f>
        <v>4806557444</v>
      </c>
      <c r="L1040" t="str">
        <f>""</f>
        <v/>
      </c>
      <c r="M1040" t="str">
        <f>"4806558220"</f>
        <v>4806558220</v>
      </c>
      <c r="N1040" t="str">
        <f>""</f>
        <v/>
      </c>
      <c r="O1040" t="s">
        <v>3788</v>
      </c>
      <c r="P1040" t="s">
        <v>3789</v>
      </c>
      <c r="R1040" t="s">
        <v>979</v>
      </c>
      <c r="S1040" t="s">
        <v>36</v>
      </c>
      <c r="T1040" t="str">
        <f>"85204"</f>
        <v>85204</v>
      </c>
      <c r="U1040" t="str">
        <f>""</f>
        <v/>
      </c>
      <c r="V1040" t="s">
        <v>3789</v>
      </c>
      <c r="X1040" t="s">
        <v>979</v>
      </c>
      <c r="Y1040" t="s">
        <v>36</v>
      </c>
      <c r="Z1040" t="str">
        <f>"85204"</f>
        <v>85204</v>
      </c>
      <c r="AA1040" t="str">
        <f>""</f>
        <v/>
      </c>
      <c r="AB1040" t="s">
        <v>265</v>
      </c>
    </row>
    <row r="1041" spans="1:28" x14ac:dyDescent="0.25">
      <c r="A1041">
        <v>4366</v>
      </c>
      <c r="B1041" t="str">
        <f>"078771000"</f>
        <v>078771000</v>
      </c>
      <c r="C1041" t="s">
        <v>3784</v>
      </c>
      <c r="D1041">
        <v>5554</v>
      </c>
      <c r="E1041" t="str">
        <f>"078771001"</f>
        <v>078771001</v>
      </c>
      <c r="F1041" t="s">
        <v>3784</v>
      </c>
      <c r="G1041" t="s">
        <v>42</v>
      </c>
      <c r="H1041" t="s">
        <v>3785</v>
      </c>
      <c r="I1041" t="s">
        <v>3786</v>
      </c>
      <c r="J1041" t="s">
        <v>3787</v>
      </c>
      <c r="K1041" t="str">
        <f>"4806557444"</f>
        <v>4806557444</v>
      </c>
      <c r="L1041" t="str">
        <f>""</f>
        <v/>
      </c>
      <c r="M1041" t="str">
        <f>"4806558220"</f>
        <v>4806558220</v>
      </c>
      <c r="N1041" t="str">
        <f>""</f>
        <v/>
      </c>
      <c r="O1041" t="s">
        <v>3788</v>
      </c>
      <c r="P1041" t="s">
        <v>3789</v>
      </c>
      <c r="R1041" t="s">
        <v>979</v>
      </c>
      <c r="S1041" t="s">
        <v>36</v>
      </c>
      <c r="T1041" t="str">
        <f>"85204"</f>
        <v>85204</v>
      </c>
      <c r="U1041" t="str">
        <f>""</f>
        <v/>
      </c>
      <c r="V1041" t="s">
        <v>3789</v>
      </c>
      <c r="X1041" t="s">
        <v>979</v>
      </c>
      <c r="Y1041" t="s">
        <v>36</v>
      </c>
      <c r="Z1041" t="str">
        <f>"85204"</f>
        <v>85204</v>
      </c>
      <c r="AA1041" t="str">
        <f>""</f>
        <v/>
      </c>
      <c r="AB1041" t="s">
        <v>265</v>
      </c>
    </row>
    <row r="1042" spans="1:28" x14ac:dyDescent="0.25">
      <c r="A1042">
        <v>4368</v>
      </c>
      <c r="B1042" t="str">
        <f t="shared" ref="B1042:B1050" si="163">"080201000"</f>
        <v>080201000</v>
      </c>
      <c r="C1042" t="s">
        <v>3790</v>
      </c>
      <c r="D1042">
        <v>0</v>
      </c>
      <c r="E1042" t="str">
        <f>""</f>
        <v/>
      </c>
      <c r="G1042" t="s">
        <v>29</v>
      </c>
      <c r="H1042" t="s">
        <v>3791</v>
      </c>
      <c r="I1042" t="s">
        <v>3792</v>
      </c>
      <c r="J1042" t="s">
        <v>3793</v>
      </c>
      <c r="K1042" t="str">
        <f t="shared" ref="K1042:K1050" si="164">"9288545413"</f>
        <v>9288545413</v>
      </c>
      <c r="L1042" t="str">
        <f>""</f>
        <v/>
      </c>
      <c r="M1042" t="str">
        <f t="shared" ref="M1042:M1050" si="165">"9288545044"</f>
        <v>9288545044</v>
      </c>
      <c r="N1042" t="str">
        <f>""</f>
        <v/>
      </c>
      <c r="O1042" t="s">
        <v>3794</v>
      </c>
      <c r="P1042" t="s">
        <v>3795</v>
      </c>
      <c r="R1042" t="s">
        <v>3796</v>
      </c>
      <c r="S1042" t="s">
        <v>36</v>
      </c>
      <c r="T1042" t="str">
        <f t="shared" ref="T1042:T1050" si="166">"86403"</f>
        <v>86403</v>
      </c>
      <c r="U1042" t="str">
        <f>""</f>
        <v/>
      </c>
      <c r="V1042" t="s">
        <v>3795</v>
      </c>
      <c r="X1042" t="s">
        <v>3796</v>
      </c>
      <c r="Y1042" t="s">
        <v>36</v>
      </c>
      <c r="Z1042" t="str">
        <f>"86403"</f>
        <v>86403</v>
      </c>
      <c r="AA1042" t="str">
        <f>""</f>
        <v/>
      </c>
      <c r="AB1042" t="s">
        <v>1166</v>
      </c>
    </row>
    <row r="1043" spans="1:28" x14ac:dyDescent="0.25">
      <c r="A1043">
        <v>4368</v>
      </c>
      <c r="B1043" t="str">
        <f t="shared" si="163"/>
        <v>080201000</v>
      </c>
      <c r="C1043" t="s">
        <v>3790</v>
      </c>
      <c r="D1043">
        <v>5559</v>
      </c>
      <c r="E1043" t="str">
        <f>"080201101"</f>
        <v>080201101</v>
      </c>
      <c r="F1043" t="s">
        <v>3797</v>
      </c>
      <c r="G1043" t="s">
        <v>42</v>
      </c>
      <c r="H1043" t="s">
        <v>3791</v>
      </c>
      <c r="I1043" t="s">
        <v>3792</v>
      </c>
      <c r="J1043" t="s">
        <v>3793</v>
      </c>
      <c r="K1043" t="str">
        <f t="shared" si="164"/>
        <v>9288545413</v>
      </c>
      <c r="L1043" t="str">
        <f>""</f>
        <v/>
      </c>
      <c r="M1043" t="str">
        <f t="shared" si="165"/>
        <v>9288545044</v>
      </c>
      <c r="N1043" t="str">
        <f>""</f>
        <v/>
      </c>
      <c r="O1043" t="s">
        <v>3794</v>
      </c>
      <c r="P1043" t="s">
        <v>3795</v>
      </c>
      <c r="R1043" t="s">
        <v>3796</v>
      </c>
      <c r="S1043" t="s">
        <v>36</v>
      </c>
      <c r="T1043" t="str">
        <f t="shared" si="166"/>
        <v>86403</v>
      </c>
      <c r="U1043" t="str">
        <f t="shared" ref="U1043:U1048" si="167">"3798"</f>
        <v>3798</v>
      </c>
      <c r="V1043" t="s">
        <v>3798</v>
      </c>
      <c r="X1043" t="s">
        <v>3796</v>
      </c>
      <c r="Y1043" t="s">
        <v>36</v>
      </c>
      <c r="Z1043" t="str">
        <f>"86403"</f>
        <v>86403</v>
      </c>
      <c r="AA1043" t="str">
        <f>""</f>
        <v/>
      </c>
      <c r="AB1043" t="s">
        <v>1166</v>
      </c>
    </row>
    <row r="1044" spans="1:28" x14ac:dyDescent="0.25">
      <c r="A1044">
        <v>4368</v>
      </c>
      <c r="B1044" t="str">
        <f t="shared" si="163"/>
        <v>080201000</v>
      </c>
      <c r="C1044" t="s">
        <v>3790</v>
      </c>
      <c r="D1044">
        <v>5560</v>
      </c>
      <c r="E1044" t="str">
        <f>"080201102"</f>
        <v>080201102</v>
      </c>
      <c r="F1044" t="s">
        <v>3799</v>
      </c>
      <c r="G1044" t="s">
        <v>42</v>
      </c>
      <c r="H1044" t="s">
        <v>3791</v>
      </c>
      <c r="I1044" t="s">
        <v>3792</v>
      </c>
      <c r="J1044" t="s">
        <v>3793</v>
      </c>
      <c r="K1044" t="str">
        <f t="shared" si="164"/>
        <v>9288545413</v>
      </c>
      <c r="L1044" t="str">
        <f>""</f>
        <v/>
      </c>
      <c r="M1044" t="str">
        <f t="shared" si="165"/>
        <v>9288545044</v>
      </c>
      <c r="N1044" t="str">
        <f>""</f>
        <v/>
      </c>
      <c r="O1044" t="s">
        <v>3794</v>
      </c>
      <c r="P1044" t="s">
        <v>3795</v>
      </c>
      <c r="R1044" t="s">
        <v>3796</v>
      </c>
      <c r="S1044" t="s">
        <v>36</v>
      </c>
      <c r="T1044" t="str">
        <f t="shared" si="166"/>
        <v>86403</v>
      </c>
      <c r="U1044" t="str">
        <f t="shared" si="167"/>
        <v>3798</v>
      </c>
      <c r="V1044" t="s">
        <v>3800</v>
      </c>
      <c r="X1044" t="s">
        <v>3796</v>
      </c>
      <c r="Y1044" t="s">
        <v>36</v>
      </c>
      <c r="Z1044" t="str">
        <f>"86406"</f>
        <v>86406</v>
      </c>
      <c r="AA1044" t="str">
        <f>""</f>
        <v/>
      </c>
      <c r="AB1044" t="s">
        <v>1166</v>
      </c>
    </row>
    <row r="1045" spans="1:28" x14ac:dyDescent="0.25">
      <c r="A1045">
        <v>4368</v>
      </c>
      <c r="B1045" t="str">
        <f t="shared" si="163"/>
        <v>080201000</v>
      </c>
      <c r="C1045" t="s">
        <v>3790</v>
      </c>
      <c r="D1045">
        <v>5561</v>
      </c>
      <c r="E1045" t="str">
        <f>"080201103"</f>
        <v>080201103</v>
      </c>
      <c r="F1045" t="s">
        <v>3801</v>
      </c>
      <c r="G1045" t="s">
        <v>42</v>
      </c>
      <c r="H1045" t="s">
        <v>3791</v>
      </c>
      <c r="I1045" t="s">
        <v>3792</v>
      </c>
      <c r="J1045" t="s">
        <v>3793</v>
      </c>
      <c r="K1045" t="str">
        <f t="shared" si="164"/>
        <v>9288545413</v>
      </c>
      <c r="L1045" t="str">
        <f>""</f>
        <v/>
      </c>
      <c r="M1045" t="str">
        <f t="shared" si="165"/>
        <v>9288545044</v>
      </c>
      <c r="N1045" t="str">
        <f>""</f>
        <v/>
      </c>
      <c r="O1045" t="s">
        <v>3794</v>
      </c>
      <c r="P1045" t="s">
        <v>3795</v>
      </c>
      <c r="R1045" t="s">
        <v>3796</v>
      </c>
      <c r="S1045" t="s">
        <v>36</v>
      </c>
      <c r="T1045" t="str">
        <f t="shared" si="166"/>
        <v>86403</v>
      </c>
      <c r="U1045" t="str">
        <f t="shared" si="167"/>
        <v>3798</v>
      </c>
      <c r="V1045" t="s">
        <v>3802</v>
      </c>
      <c r="X1045" t="s">
        <v>3796</v>
      </c>
      <c r="Y1045" t="s">
        <v>36</v>
      </c>
      <c r="Z1045" t="str">
        <f>"86404"</f>
        <v>86404</v>
      </c>
      <c r="AA1045" t="str">
        <f>""</f>
        <v/>
      </c>
      <c r="AB1045" t="s">
        <v>1166</v>
      </c>
    </row>
    <row r="1046" spans="1:28" x14ac:dyDescent="0.25">
      <c r="A1046">
        <v>4368</v>
      </c>
      <c r="B1046" t="str">
        <f t="shared" si="163"/>
        <v>080201000</v>
      </c>
      <c r="C1046" t="s">
        <v>3790</v>
      </c>
      <c r="D1046">
        <v>5562</v>
      </c>
      <c r="E1046" t="str">
        <f>"080201104"</f>
        <v>080201104</v>
      </c>
      <c r="F1046" t="s">
        <v>3803</v>
      </c>
      <c r="G1046" t="s">
        <v>42</v>
      </c>
      <c r="H1046" t="s">
        <v>3791</v>
      </c>
      <c r="I1046" t="s">
        <v>3792</v>
      </c>
      <c r="J1046" t="s">
        <v>3793</v>
      </c>
      <c r="K1046" t="str">
        <f t="shared" si="164"/>
        <v>9288545413</v>
      </c>
      <c r="L1046" t="str">
        <f>""</f>
        <v/>
      </c>
      <c r="M1046" t="str">
        <f t="shared" si="165"/>
        <v>9288545044</v>
      </c>
      <c r="N1046" t="str">
        <f>""</f>
        <v/>
      </c>
      <c r="O1046" t="s">
        <v>3794</v>
      </c>
      <c r="P1046" t="s">
        <v>3795</v>
      </c>
      <c r="R1046" t="s">
        <v>3796</v>
      </c>
      <c r="S1046" t="s">
        <v>36</v>
      </c>
      <c r="T1046" t="str">
        <f t="shared" si="166"/>
        <v>86403</v>
      </c>
      <c r="U1046" t="str">
        <f t="shared" si="167"/>
        <v>3798</v>
      </c>
      <c r="V1046" t="s">
        <v>3804</v>
      </c>
      <c r="X1046" t="s">
        <v>3796</v>
      </c>
      <c r="Y1046" t="s">
        <v>36</v>
      </c>
      <c r="Z1046" t="str">
        <f>"86406"</f>
        <v>86406</v>
      </c>
      <c r="AA1046" t="str">
        <f>""</f>
        <v/>
      </c>
      <c r="AB1046" t="s">
        <v>1166</v>
      </c>
    </row>
    <row r="1047" spans="1:28" x14ac:dyDescent="0.25">
      <c r="A1047">
        <v>4368</v>
      </c>
      <c r="B1047" t="str">
        <f t="shared" si="163"/>
        <v>080201000</v>
      </c>
      <c r="C1047" t="s">
        <v>3790</v>
      </c>
      <c r="D1047">
        <v>5563</v>
      </c>
      <c r="E1047" t="str">
        <f>"080201105"</f>
        <v>080201105</v>
      </c>
      <c r="F1047" t="s">
        <v>3805</v>
      </c>
      <c r="G1047" t="s">
        <v>42</v>
      </c>
      <c r="H1047" t="s">
        <v>3791</v>
      </c>
      <c r="I1047" t="s">
        <v>3792</v>
      </c>
      <c r="J1047" t="s">
        <v>3793</v>
      </c>
      <c r="K1047" t="str">
        <f t="shared" si="164"/>
        <v>9288545413</v>
      </c>
      <c r="L1047" t="str">
        <f>""</f>
        <v/>
      </c>
      <c r="M1047" t="str">
        <f t="shared" si="165"/>
        <v>9288545044</v>
      </c>
      <c r="N1047" t="str">
        <f>""</f>
        <v/>
      </c>
      <c r="O1047" t="s">
        <v>3794</v>
      </c>
      <c r="P1047" t="s">
        <v>3795</v>
      </c>
      <c r="R1047" t="s">
        <v>3796</v>
      </c>
      <c r="S1047" t="s">
        <v>36</v>
      </c>
      <c r="T1047" t="str">
        <f t="shared" si="166"/>
        <v>86403</v>
      </c>
      <c r="U1047" t="str">
        <f t="shared" si="167"/>
        <v>3798</v>
      </c>
      <c r="V1047" t="s">
        <v>3806</v>
      </c>
      <c r="X1047" t="s">
        <v>3796</v>
      </c>
      <c r="Y1047" t="s">
        <v>36</v>
      </c>
      <c r="Z1047" t="str">
        <f>"86404"</f>
        <v>86404</v>
      </c>
      <c r="AA1047" t="str">
        <f>""</f>
        <v/>
      </c>
      <c r="AB1047" t="s">
        <v>1166</v>
      </c>
    </row>
    <row r="1048" spans="1:28" x14ac:dyDescent="0.25">
      <c r="A1048">
        <v>4368</v>
      </c>
      <c r="B1048" t="str">
        <f t="shared" si="163"/>
        <v>080201000</v>
      </c>
      <c r="C1048" t="s">
        <v>3790</v>
      </c>
      <c r="D1048">
        <v>5564</v>
      </c>
      <c r="E1048" t="str">
        <f>"080201106"</f>
        <v>080201106</v>
      </c>
      <c r="F1048" t="s">
        <v>3807</v>
      </c>
      <c r="G1048" t="s">
        <v>42</v>
      </c>
      <c r="H1048" t="s">
        <v>3791</v>
      </c>
      <c r="I1048" t="s">
        <v>3792</v>
      </c>
      <c r="J1048" t="s">
        <v>3793</v>
      </c>
      <c r="K1048" t="str">
        <f t="shared" si="164"/>
        <v>9288545413</v>
      </c>
      <c r="L1048" t="str">
        <f>""</f>
        <v/>
      </c>
      <c r="M1048" t="str">
        <f t="shared" si="165"/>
        <v>9288545044</v>
      </c>
      <c r="N1048" t="str">
        <f>""</f>
        <v/>
      </c>
      <c r="O1048" t="s">
        <v>3794</v>
      </c>
      <c r="P1048" t="s">
        <v>3808</v>
      </c>
      <c r="R1048" t="s">
        <v>3796</v>
      </c>
      <c r="S1048" t="s">
        <v>36</v>
      </c>
      <c r="T1048" t="str">
        <f t="shared" si="166"/>
        <v>86403</v>
      </c>
      <c r="U1048" t="str">
        <f t="shared" si="167"/>
        <v>3798</v>
      </c>
      <c r="V1048" t="s">
        <v>3809</v>
      </c>
      <c r="X1048" t="s">
        <v>3796</v>
      </c>
      <c r="Y1048" t="s">
        <v>36</v>
      </c>
      <c r="Z1048" t="str">
        <f>"86406"</f>
        <v>86406</v>
      </c>
      <c r="AA1048" t="str">
        <f>""</f>
        <v/>
      </c>
      <c r="AB1048" t="s">
        <v>1166</v>
      </c>
    </row>
    <row r="1049" spans="1:28" x14ac:dyDescent="0.25">
      <c r="A1049">
        <v>4368</v>
      </c>
      <c r="B1049" t="str">
        <f t="shared" si="163"/>
        <v>080201000</v>
      </c>
      <c r="C1049" t="s">
        <v>3790</v>
      </c>
      <c r="D1049">
        <v>5565</v>
      </c>
      <c r="E1049" t="str">
        <f>"080201207"</f>
        <v>080201207</v>
      </c>
      <c r="F1049" t="s">
        <v>3810</v>
      </c>
      <c r="G1049" t="s">
        <v>42</v>
      </c>
      <c r="H1049" t="s">
        <v>3791</v>
      </c>
      <c r="I1049" t="s">
        <v>3792</v>
      </c>
      <c r="J1049" t="s">
        <v>3793</v>
      </c>
      <c r="K1049" t="str">
        <f t="shared" si="164"/>
        <v>9288545413</v>
      </c>
      <c r="L1049" t="str">
        <f>""</f>
        <v/>
      </c>
      <c r="M1049" t="str">
        <f t="shared" si="165"/>
        <v>9288545044</v>
      </c>
      <c r="N1049" t="str">
        <f>""</f>
        <v/>
      </c>
      <c r="O1049" t="s">
        <v>3794</v>
      </c>
      <c r="P1049" t="s">
        <v>3808</v>
      </c>
      <c r="R1049" t="s">
        <v>3796</v>
      </c>
      <c r="S1049" t="s">
        <v>36</v>
      </c>
      <c r="T1049" t="str">
        <f t="shared" si="166"/>
        <v>86403</v>
      </c>
      <c r="U1049" t="str">
        <f>""</f>
        <v/>
      </c>
      <c r="V1049" t="s">
        <v>3811</v>
      </c>
      <c r="X1049" t="s">
        <v>3796</v>
      </c>
      <c r="Y1049" t="s">
        <v>36</v>
      </c>
      <c r="Z1049" t="str">
        <f>"86403"</f>
        <v>86403</v>
      </c>
      <c r="AA1049" t="str">
        <f>""</f>
        <v/>
      </c>
      <c r="AB1049" t="s">
        <v>1166</v>
      </c>
    </row>
    <row r="1050" spans="1:28" x14ac:dyDescent="0.25">
      <c r="A1050">
        <v>4368</v>
      </c>
      <c r="B1050" t="str">
        <f t="shared" si="163"/>
        <v>080201000</v>
      </c>
      <c r="C1050" t="s">
        <v>3790</v>
      </c>
      <c r="D1050">
        <v>78979</v>
      </c>
      <c r="E1050" t="str">
        <f>"080201109"</f>
        <v>080201109</v>
      </c>
      <c r="F1050" t="s">
        <v>3812</v>
      </c>
      <c r="G1050" t="s">
        <v>42</v>
      </c>
      <c r="H1050" t="s">
        <v>3791</v>
      </c>
      <c r="I1050" t="s">
        <v>3792</v>
      </c>
      <c r="J1050" t="s">
        <v>118</v>
      </c>
      <c r="K1050" t="str">
        <f t="shared" si="164"/>
        <v>9288545413</v>
      </c>
      <c r="L1050" t="str">
        <f>""</f>
        <v/>
      </c>
      <c r="M1050" t="str">
        <f t="shared" si="165"/>
        <v>9288545044</v>
      </c>
      <c r="N1050" t="str">
        <f>""</f>
        <v/>
      </c>
      <c r="O1050" t="s">
        <v>3794</v>
      </c>
      <c r="P1050" t="s">
        <v>3795</v>
      </c>
      <c r="R1050" t="s">
        <v>3796</v>
      </c>
      <c r="S1050" t="s">
        <v>36</v>
      </c>
      <c r="T1050" t="str">
        <f t="shared" si="166"/>
        <v>86403</v>
      </c>
      <c r="U1050" t="str">
        <f>"3798"</f>
        <v>3798</v>
      </c>
      <c r="V1050" t="s">
        <v>3813</v>
      </c>
      <c r="X1050" t="s">
        <v>3796</v>
      </c>
      <c r="Y1050" t="s">
        <v>36</v>
      </c>
      <c r="Z1050" t="str">
        <f>"86406"</f>
        <v>86406</v>
      </c>
      <c r="AA1050" t="str">
        <f>""</f>
        <v/>
      </c>
      <c r="AB1050" t="s">
        <v>1166</v>
      </c>
    </row>
    <row r="1051" spans="1:28" x14ac:dyDescent="0.25">
      <c r="A1051">
        <v>4369</v>
      </c>
      <c r="B1051" t="str">
        <f>"080208000"</f>
        <v>080208000</v>
      </c>
      <c r="C1051" t="s">
        <v>3814</v>
      </c>
      <c r="D1051">
        <v>0</v>
      </c>
      <c r="E1051" t="str">
        <f>""</f>
        <v/>
      </c>
      <c r="G1051" t="s">
        <v>29</v>
      </c>
      <c r="H1051" t="s">
        <v>3815</v>
      </c>
      <c r="I1051" t="s">
        <v>3816</v>
      </c>
      <c r="J1051" t="s">
        <v>3817</v>
      </c>
      <c r="K1051" t="str">
        <f>"9286079980"</f>
        <v>9286079980</v>
      </c>
      <c r="L1051" t="str">
        <f>""</f>
        <v/>
      </c>
      <c r="M1051" t="str">
        <f>"9287692214"</f>
        <v>9287692214</v>
      </c>
      <c r="N1051" t="str">
        <f>""</f>
        <v/>
      </c>
      <c r="O1051" t="s">
        <v>3818</v>
      </c>
      <c r="P1051" t="s">
        <v>3819</v>
      </c>
      <c r="R1051" t="s">
        <v>3820</v>
      </c>
      <c r="S1051" t="s">
        <v>36</v>
      </c>
      <c r="T1051" t="str">
        <f>"86434"</f>
        <v>86434</v>
      </c>
      <c r="U1051" t="str">
        <f>""</f>
        <v/>
      </c>
      <c r="V1051" t="s">
        <v>3821</v>
      </c>
      <c r="X1051" t="s">
        <v>3820</v>
      </c>
      <c r="Y1051" t="s">
        <v>36</v>
      </c>
      <c r="Z1051" t="str">
        <f>"86434"</f>
        <v>86434</v>
      </c>
      <c r="AA1051" t="str">
        <f>""</f>
        <v/>
      </c>
      <c r="AB1051" t="s">
        <v>508</v>
      </c>
    </row>
    <row r="1052" spans="1:28" x14ac:dyDescent="0.25">
      <c r="A1052">
        <v>4369</v>
      </c>
      <c r="B1052" t="str">
        <f>"080208000"</f>
        <v>080208000</v>
      </c>
      <c r="C1052" t="s">
        <v>3814</v>
      </c>
      <c r="D1052">
        <v>5566</v>
      </c>
      <c r="E1052" t="str">
        <f>"080208001"</f>
        <v>080208001</v>
      </c>
      <c r="F1052" t="s">
        <v>3822</v>
      </c>
      <c r="G1052" t="s">
        <v>42</v>
      </c>
      <c r="H1052" t="s">
        <v>3815</v>
      </c>
      <c r="I1052" t="s">
        <v>3816</v>
      </c>
      <c r="J1052" t="s">
        <v>3817</v>
      </c>
      <c r="K1052" t="str">
        <f>"9286079980"</f>
        <v>9286079980</v>
      </c>
      <c r="L1052" t="str">
        <f>""</f>
        <v/>
      </c>
      <c r="M1052" t="str">
        <f>"9287692214"</f>
        <v>9287692214</v>
      </c>
      <c r="N1052" t="str">
        <f>""</f>
        <v/>
      </c>
      <c r="O1052" t="s">
        <v>3818</v>
      </c>
      <c r="P1052" t="s">
        <v>3819</v>
      </c>
      <c r="R1052" t="s">
        <v>3820</v>
      </c>
      <c r="S1052" t="s">
        <v>36</v>
      </c>
      <c r="T1052" t="str">
        <f>"86434"</f>
        <v>86434</v>
      </c>
      <c r="U1052" t="str">
        <f>""</f>
        <v/>
      </c>
      <c r="V1052" t="s">
        <v>3821</v>
      </c>
      <c r="X1052" t="s">
        <v>3820</v>
      </c>
      <c r="Y1052" t="s">
        <v>36</v>
      </c>
      <c r="Z1052" t="str">
        <f>"86434"</f>
        <v>86434</v>
      </c>
      <c r="AA1052" t="str">
        <f>""</f>
        <v/>
      </c>
      <c r="AB1052" t="s">
        <v>508</v>
      </c>
    </row>
    <row r="1053" spans="1:28" x14ac:dyDescent="0.25">
      <c r="A1053">
        <v>4370</v>
      </c>
      <c r="B1053" t="str">
        <f>"080214000"</f>
        <v>080214000</v>
      </c>
      <c r="C1053" t="s">
        <v>3823</v>
      </c>
      <c r="D1053">
        <v>0</v>
      </c>
      <c r="E1053" t="str">
        <f>""</f>
        <v/>
      </c>
      <c r="G1053" t="s">
        <v>29</v>
      </c>
      <c r="H1053" t="s">
        <v>3824</v>
      </c>
      <c r="I1053" t="s">
        <v>3825</v>
      </c>
      <c r="J1053" t="s">
        <v>32</v>
      </c>
      <c r="K1053" t="str">
        <f>"9288759019"</f>
        <v>9288759019</v>
      </c>
      <c r="L1053" t="str">
        <f>""</f>
        <v/>
      </c>
      <c r="M1053" t="str">
        <f>"9288759099"</f>
        <v>9288759099</v>
      </c>
      <c r="N1053" t="str">
        <f>""</f>
        <v/>
      </c>
      <c r="O1053" t="s">
        <v>3826</v>
      </c>
      <c r="P1053" t="s">
        <v>3827</v>
      </c>
      <c r="R1053" t="s">
        <v>3828</v>
      </c>
      <c r="S1053" t="s">
        <v>36</v>
      </c>
      <c r="T1053" t="str">
        <f>"86021"</f>
        <v>86021</v>
      </c>
      <c r="U1053" t="str">
        <f>"0309"</f>
        <v>0309</v>
      </c>
      <c r="V1053" t="s">
        <v>3829</v>
      </c>
      <c r="X1053" t="s">
        <v>3828</v>
      </c>
      <c r="Y1053" t="s">
        <v>36</v>
      </c>
      <c r="Z1053" t="str">
        <f>"86021"</f>
        <v>86021</v>
      </c>
      <c r="AA1053" t="str">
        <f>"0309"</f>
        <v>0309</v>
      </c>
      <c r="AB1053" t="s">
        <v>265</v>
      </c>
    </row>
    <row r="1054" spans="1:28" x14ac:dyDescent="0.25">
      <c r="A1054">
        <v>4370</v>
      </c>
      <c r="B1054" t="str">
        <f>"080214000"</f>
        <v>080214000</v>
      </c>
      <c r="C1054" t="s">
        <v>3823</v>
      </c>
      <c r="D1054">
        <v>5567</v>
      </c>
      <c r="E1054" t="str">
        <f>"080214101"</f>
        <v>080214101</v>
      </c>
      <c r="F1054" t="s">
        <v>3830</v>
      </c>
      <c r="G1054" t="s">
        <v>42</v>
      </c>
      <c r="H1054" t="s">
        <v>3824</v>
      </c>
      <c r="I1054" t="s">
        <v>3825</v>
      </c>
      <c r="J1054" t="s">
        <v>3831</v>
      </c>
      <c r="K1054" t="str">
        <f>"9288759019"</f>
        <v>9288759019</v>
      </c>
      <c r="L1054" t="str">
        <f>""</f>
        <v/>
      </c>
      <c r="M1054" t="str">
        <f>"9288759095"</f>
        <v>9288759095</v>
      </c>
      <c r="N1054" t="str">
        <f>""</f>
        <v/>
      </c>
      <c r="O1054" t="s">
        <v>3826</v>
      </c>
      <c r="P1054" t="s">
        <v>3832</v>
      </c>
      <c r="Q1054" t="s">
        <v>3827</v>
      </c>
      <c r="R1054" t="s">
        <v>3828</v>
      </c>
      <c r="S1054" t="s">
        <v>36</v>
      </c>
      <c r="T1054" t="str">
        <f>"86021"</f>
        <v>86021</v>
      </c>
      <c r="U1054" t="str">
        <f>"0309"</f>
        <v>0309</v>
      </c>
      <c r="V1054" t="s">
        <v>3832</v>
      </c>
      <c r="W1054" t="s">
        <v>3827</v>
      </c>
      <c r="X1054" t="s">
        <v>3828</v>
      </c>
      <c r="Y1054" t="s">
        <v>36</v>
      </c>
      <c r="Z1054" t="str">
        <f>"86021"</f>
        <v>86021</v>
      </c>
      <c r="AA1054" t="str">
        <f>"0309"</f>
        <v>0309</v>
      </c>
      <c r="AB1054" t="s">
        <v>265</v>
      </c>
    </row>
    <row r="1055" spans="1:28" x14ac:dyDescent="0.25">
      <c r="A1055">
        <v>4370</v>
      </c>
      <c r="B1055" t="str">
        <f>"080214000"</f>
        <v>080214000</v>
      </c>
      <c r="C1055" t="s">
        <v>3823</v>
      </c>
      <c r="D1055">
        <v>92635</v>
      </c>
      <c r="E1055" t="str">
        <f>"080214102"</f>
        <v>080214102</v>
      </c>
      <c r="F1055" t="s">
        <v>3833</v>
      </c>
      <c r="G1055" t="s">
        <v>42</v>
      </c>
      <c r="H1055" t="s">
        <v>3824</v>
      </c>
      <c r="I1055" t="s">
        <v>3825</v>
      </c>
      <c r="J1055" t="s">
        <v>32</v>
      </c>
      <c r="K1055" t="str">
        <f>"9288759019"</f>
        <v>9288759019</v>
      </c>
      <c r="L1055" t="str">
        <f>""</f>
        <v/>
      </c>
      <c r="M1055" t="str">
        <f>"9288759095"</f>
        <v>9288759095</v>
      </c>
      <c r="N1055" t="str">
        <f>""</f>
        <v/>
      </c>
      <c r="O1055" t="s">
        <v>3826</v>
      </c>
      <c r="P1055" t="s">
        <v>3834</v>
      </c>
      <c r="R1055" t="s">
        <v>3835</v>
      </c>
      <c r="S1055" t="s">
        <v>36</v>
      </c>
      <c r="T1055" t="str">
        <f>"86021"</f>
        <v>86021</v>
      </c>
      <c r="U1055" t="str">
        <f>"0309"</f>
        <v>0309</v>
      </c>
      <c r="V1055" t="s">
        <v>3836</v>
      </c>
      <c r="X1055" t="s">
        <v>3835</v>
      </c>
      <c r="Y1055" t="s">
        <v>36</v>
      </c>
      <c r="Z1055" t="str">
        <f>"86021"</f>
        <v>86021</v>
      </c>
      <c r="AA1055" t="str">
        <f>"0309"</f>
        <v>0309</v>
      </c>
      <c r="AB1055" t="s">
        <v>265</v>
      </c>
    </row>
    <row r="1056" spans="1:28" x14ac:dyDescent="0.25">
      <c r="A1056">
        <v>4371</v>
      </c>
      <c r="B1056" t="str">
        <f>"080303000"</f>
        <v>080303000</v>
      </c>
      <c r="C1056" t="s">
        <v>3837</v>
      </c>
      <c r="D1056">
        <v>0</v>
      </c>
      <c r="E1056" t="str">
        <f>""</f>
        <v/>
      </c>
      <c r="G1056" t="s">
        <v>29</v>
      </c>
      <c r="H1056" t="s">
        <v>3838</v>
      </c>
      <c r="I1056" t="s">
        <v>3839</v>
      </c>
      <c r="J1056" t="s">
        <v>315</v>
      </c>
      <c r="K1056" t="str">
        <f>"9286920013"</f>
        <v>9286920013</v>
      </c>
      <c r="L1056" t="str">
        <f>"214"</f>
        <v>214</v>
      </c>
      <c r="M1056" t="str">
        <f>""</f>
        <v/>
      </c>
      <c r="N1056" t="str">
        <f>""</f>
        <v/>
      </c>
      <c r="O1056" t="s">
        <v>3840</v>
      </c>
      <c r="P1056" t="s">
        <v>3841</v>
      </c>
      <c r="R1056" t="s">
        <v>3842</v>
      </c>
      <c r="S1056" t="s">
        <v>36</v>
      </c>
      <c r="T1056" t="str">
        <f>"86401"</f>
        <v>86401</v>
      </c>
      <c r="U1056" t="str">
        <f>""</f>
        <v/>
      </c>
      <c r="V1056" t="s">
        <v>3841</v>
      </c>
      <c r="X1056" t="s">
        <v>3842</v>
      </c>
      <c r="Y1056" t="s">
        <v>36</v>
      </c>
      <c r="Z1056" t="str">
        <f>"86401"</f>
        <v>86401</v>
      </c>
      <c r="AA1056" t="str">
        <f>""</f>
        <v/>
      </c>
      <c r="AB1056" t="s">
        <v>632</v>
      </c>
    </row>
    <row r="1057" spans="1:28" x14ac:dyDescent="0.25">
      <c r="A1057">
        <v>4371</v>
      </c>
      <c r="B1057" t="str">
        <f>"080303000"</f>
        <v>080303000</v>
      </c>
      <c r="C1057" t="s">
        <v>3837</v>
      </c>
      <c r="D1057">
        <v>5570</v>
      </c>
      <c r="E1057" t="str">
        <f>"080303002"</f>
        <v>080303002</v>
      </c>
      <c r="F1057" t="s">
        <v>3843</v>
      </c>
      <c r="G1057" t="s">
        <v>42</v>
      </c>
      <c r="H1057" t="s">
        <v>3838</v>
      </c>
      <c r="I1057" t="s">
        <v>3839</v>
      </c>
      <c r="J1057" t="s">
        <v>315</v>
      </c>
      <c r="K1057" t="str">
        <f>"9286920013"</f>
        <v>9286920013</v>
      </c>
      <c r="L1057" t="str">
        <f>"214"</f>
        <v>214</v>
      </c>
      <c r="M1057" t="str">
        <f>"9286921075"</f>
        <v>9286921075</v>
      </c>
      <c r="N1057" t="str">
        <f>""</f>
        <v/>
      </c>
      <c r="O1057" t="s">
        <v>3840</v>
      </c>
      <c r="P1057" t="s">
        <v>3844</v>
      </c>
      <c r="R1057" t="s">
        <v>3842</v>
      </c>
      <c r="S1057" t="s">
        <v>36</v>
      </c>
      <c r="T1057" t="str">
        <f>"86401"</f>
        <v>86401</v>
      </c>
      <c r="U1057" t="str">
        <f>""</f>
        <v/>
      </c>
      <c r="V1057" t="s">
        <v>3844</v>
      </c>
      <c r="X1057" t="s">
        <v>3842</v>
      </c>
      <c r="Y1057" t="s">
        <v>36</v>
      </c>
      <c r="Z1057" t="str">
        <f>"86401"</f>
        <v>86401</v>
      </c>
      <c r="AA1057" t="str">
        <f>""</f>
        <v/>
      </c>
      <c r="AB1057" t="s">
        <v>632</v>
      </c>
    </row>
    <row r="1058" spans="1:28" x14ac:dyDescent="0.25">
      <c r="A1058">
        <v>4373</v>
      </c>
      <c r="B1058" t="str">
        <f>"080306000"</f>
        <v>080306000</v>
      </c>
      <c r="C1058" t="s">
        <v>3845</v>
      </c>
      <c r="D1058">
        <v>0</v>
      </c>
      <c r="E1058" t="str">
        <f>""</f>
        <v/>
      </c>
      <c r="G1058" t="s">
        <v>29</v>
      </c>
      <c r="H1058" t="s">
        <v>3846</v>
      </c>
      <c r="I1058" t="s">
        <v>3847</v>
      </c>
      <c r="J1058" t="s">
        <v>32</v>
      </c>
      <c r="K1058" t="str">
        <f>"9287652311"</f>
        <v>9287652311</v>
      </c>
      <c r="L1058" t="str">
        <f>""</f>
        <v/>
      </c>
      <c r="M1058" t="str">
        <f>"9287652335"</f>
        <v>9287652335</v>
      </c>
      <c r="N1058" t="str">
        <f>""</f>
        <v/>
      </c>
      <c r="O1058" t="s">
        <v>3848</v>
      </c>
      <c r="P1058" t="s">
        <v>439</v>
      </c>
      <c r="R1058" t="s">
        <v>3849</v>
      </c>
      <c r="S1058" t="s">
        <v>36</v>
      </c>
      <c r="T1058" t="str">
        <f>"85360"</f>
        <v>85360</v>
      </c>
      <c r="U1058" t="str">
        <f>"0038"</f>
        <v>0038</v>
      </c>
      <c r="V1058" t="s">
        <v>3850</v>
      </c>
      <c r="X1058" t="s">
        <v>3849</v>
      </c>
      <c r="Y1058" t="s">
        <v>36</v>
      </c>
      <c r="Z1058" t="str">
        <f>"85360"</f>
        <v>85360</v>
      </c>
      <c r="AA1058" t="str">
        <f>"0038"</f>
        <v>0038</v>
      </c>
      <c r="AB1058" t="s">
        <v>3851</v>
      </c>
    </row>
    <row r="1059" spans="1:28" x14ac:dyDescent="0.25">
      <c r="A1059">
        <v>4373</v>
      </c>
      <c r="B1059" t="str">
        <f>"080306000"</f>
        <v>080306000</v>
      </c>
      <c r="C1059" t="s">
        <v>3845</v>
      </c>
      <c r="D1059">
        <v>5578</v>
      </c>
      <c r="E1059" t="str">
        <f>"080306101"</f>
        <v>080306101</v>
      </c>
      <c r="F1059" t="s">
        <v>3852</v>
      </c>
      <c r="G1059" t="s">
        <v>42</v>
      </c>
      <c r="H1059" t="s">
        <v>3846</v>
      </c>
      <c r="I1059" t="s">
        <v>3847</v>
      </c>
      <c r="J1059" t="s">
        <v>32</v>
      </c>
      <c r="K1059" t="str">
        <f>"9287652311"</f>
        <v>9287652311</v>
      </c>
      <c r="L1059" t="str">
        <f>"0"</f>
        <v>0</v>
      </c>
      <c r="M1059" t="str">
        <f>"9287652335"</f>
        <v>9287652335</v>
      </c>
      <c r="N1059" t="str">
        <f>"0"</f>
        <v>0</v>
      </c>
      <c r="O1059" t="s">
        <v>3848</v>
      </c>
      <c r="P1059" t="s">
        <v>3853</v>
      </c>
      <c r="R1059" t="s">
        <v>3849</v>
      </c>
      <c r="S1059" t="s">
        <v>36</v>
      </c>
      <c r="T1059" t="str">
        <f>"85360"</f>
        <v>85360</v>
      </c>
      <c r="U1059" t="str">
        <f>"0038"</f>
        <v>0038</v>
      </c>
      <c r="V1059" t="s">
        <v>3850</v>
      </c>
      <c r="X1059" t="s">
        <v>3849</v>
      </c>
      <c r="Y1059" t="s">
        <v>36</v>
      </c>
      <c r="Z1059" t="str">
        <f>"85360"</f>
        <v>85360</v>
      </c>
      <c r="AA1059" t="str">
        <f>"0038"</f>
        <v>0038</v>
      </c>
      <c r="AB1059" t="s">
        <v>3851</v>
      </c>
    </row>
    <row r="1060" spans="1:28" x14ac:dyDescent="0.25">
      <c r="A1060">
        <v>4374</v>
      </c>
      <c r="B1060" t="str">
        <f>"080209000"</f>
        <v>080209000</v>
      </c>
      <c r="C1060" t="s">
        <v>3854</v>
      </c>
      <c r="D1060">
        <v>0</v>
      </c>
      <c r="E1060" t="str">
        <f>""</f>
        <v/>
      </c>
      <c r="G1060" t="s">
        <v>29</v>
      </c>
      <c r="H1060" t="s">
        <v>3855</v>
      </c>
      <c r="I1060" t="s">
        <v>3856</v>
      </c>
      <c r="J1060" t="s">
        <v>32</v>
      </c>
      <c r="K1060" t="str">
        <f>"9283475796"</f>
        <v>9283475796</v>
      </c>
      <c r="L1060" t="str">
        <f>"1021"</f>
        <v>1021</v>
      </c>
      <c r="M1060" t="str">
        <f>"9283475795"</f>
        <v>9283475795</v>
      </c>
      <c r="N1060" t="str">
        <f>""</f>
        <v/>
      </c>
      <c r="O1060" t="s">
        <v>3857</v>
      </c>
      <c r="P1060" t="s">
        <v>3858</v>
      </c>
      <c r="R1060" t="s">
        <v>3859</v>
      </c>
      <c r="S1060" t="s">
        <v>36</v>
      </c>
      <c r="T1060" t="str">
        <f>"86432"</f>
        <v>86432</v>
      </c>
      <c r="U1060" t="str">
        <f>"0730"</f>
        <v>0730</v>
      </c>
      <c r="V1060" t="s">
        <v>3860</v>
      </c>
      <c r="X1060" t="s">
        <v>3859</v>
      </c>
      <c r="Y1060" t="s">
        <v>36</v>
      </c>
      <c r="Z1060" t="str">
        <f>"86432"</f>
        <v>86432</v>
      </c>
      <c r="AA1060" t="str">
        <f>"0730"</f>
        <v>0730</v>
      </c>
      <c r="AB1060" t="s">
        <v>516</v>
      </c>
    </row>
    <row r="1061" spans="1:28" x14ac:dyDescent="0.25">
      <c r="A1061">
        <v>4374</v>
      </c>
      <c r="B1061" t="str">
        <f>"080209000"</f>
        <v>080209000</v>
      </c>
      <c r="C1061" t="s">
        <v>3854</v>
      </c>
      <c r="D1061">
        <v>5579</v>
      </c>
      <c r="E1061" t="str">
        <f>"080209001"</f>
        <v>080209001</v>
      </c>
      <c r="F1061" t="s">
        <v>3861</v>
      </c>
      <c r="G1061" t="s">
        <v>42</v>
      </c>
      <c r="H1061" t="s">
        <v>3862</v>
      </c>
      <c r="I1061" t="s">
        <v>3856</v>
      </c>
      <c r="J1061" t="s">
        <v>32</v>
      </c>
      <c r="K1061" t="str">
        <f>"9283475796"</f>
        <v>9283475796</v>
      </c>
      <c r="L1061" t="str">
        <f>"1021"</f>
        <v>1021</v>
      </c>
      <c r="M1061" t="str">
        <f>"9283475795"</f>
        <v>9283475795</v>
      </c>
      <c r="N1061" t="str">
        <f>""</f>
        <v/>
      </c>
      <c r="O1061" t="s">
        <v>3857</v>
      </c>
      <c r="P1061" t="s">
        <v>3858</v>
      </c>
      <c r="R1061" t="s">
        <v>3859</v>
      </c>
      <c r="S1061" t="s">
        <v>36</v>
      </c>
      <c r="T1061" t="str">
        <f>"86432"</f>
        <v>86432</v>
      </c>
      <c r="U1061" t="str">
        <f>""</f>
        <v/>
      </c>
      <c r="V1061" t="s">
        <v>3863</v>
      </c>
      <c r="X1061" t="s">
        <v>3859</v>
      </c>
      <c r="Y1061" t="s">
        <v>36</v>
      </c>
      <c r="Z1061" t="str">
        <f>"86432"</f>
        <v>86432</v>
      </c>
      <c r="AA1061" t="str">
        <f>""</f>
        <v/>
      </c>
      <c r="AB1061" t="s">
        <v>516</v>
      </c>
    </row>
    <row r="1062" spans="1:28" x14ac:dyDescent="0.25">
      <c r="A1062">
        <v>4374</v>
      </c>
      <c r="B1062" t="str">
        <f>"080209000"</f>
        <v>080209000</v>
      </c>
      <c r="C1062" t="s">
        <v>3854</v>
      </c>
      <c r="D1062">
        <v>85821</v>
      </c>
      <c r="E1062" t="str">
        <f>"080209201"</f>
        <v>080209201</v>
      </c>
      <c r="F1062" t="s">
        <v>3864</v>
      </c>
      <c r="G1062" t="s">
        <v>42</v>
      </c>
      <c r="H1062" t="s">
        <v>3865</v>
      </c>
      <c r="I1062" t="s">
        <v>2183</v>
      </c>
      <c r="J1062" t="s">
        <v>3866</v>
      </c>
      <c r="K1062" t="str">
        <f>"9283475252"</f>
        <v>9283475252</v>
      </c>
      <c r="L1062" t="str">
        <f>"2117"</f>
        <v>2117</v>
      </c>
      <c r="M1062" t="str">
        <f>"9283475151"</f>
        <v>9283475151</v>
      </c>
      <c r="N1062" t="str">
        <f>""</f>
        <v/>
      </c>
      <c r="O1062" t="s">
        <v>3867</v>
      </c>
      <c r="P1062" t="s">
        <v>3868</v>
      </c>
      <c r="R1062" t="s">
        <v>3859</v>
      </c>
      <c r="S1062" t="s">
        <v>36</v>
      </c>
      <c r="T1062" t="str">
        <f>"86432"</f>
        <v>86432</v>
      </c>
      <c r="U1062" t="str">
        <f>""</f>
        <v/>
      </c>
      <c r="V1062" t="s">
        <v>3869</v>
      </c>
      <c r="X1062" t="s">
        <v>3859</v>
      </c>
      <c r="Y1062" t="s">
        <v>36</v>
      </c>
      <c r="Z1062" t="str">
        <f>"86432"</f>
        <v>86432</v>
      </c>
      <c r="AA1062" t="str">
        <f>""</f>
        <v/>
      </c>
      <c r="AB1062" t="s">
        <v>516</v>
      </c>
    </row>
    <row r="1063" spans="1:28" x14ac:dyDescent="0.25">
      <c r="A1063">
        <v>4376</v>
      </c>
      <c r="B1063" t="str">
        <f>"080412000"</f>
        <v>080412000</v>
      </c>
      <c r="C1063" t="s">
        <v>3870</v>
      </c>
      <c r="D1063">
        <v>0</v>
      </c>
      <c r="E1063" t="str">
        <f>""</f>
        <v/>
      </c>
      <c r="G1063" t="s">
        <v>29</v>
      </c>
      <c r="H1063" t="s">
        <v>3871</v>
      </c>
      <c r="I1063" t="s">
        <v>3872</v>
      </c>
      <c r="J1063" t="s">
        <v>449</v>
      </c>
      <c r="K1063" t="str">
        <f>"9287683344"</f>
        <v>9287683344</v>
      </c>
      <c r="L1063" t="str">
        <f>""</f>
        <v/>
      </c>
      <c r="M1063" t="str">
        <f>"9287689253"</f>
        <v>9287689253</v>
      </c>
      <c r="N1063" t="str">
        <f>""</f>
        <v/>
      </c>
      <c r="O1063" t="s">
        <v>3873</v>
      </c>
      <c r="P1063" t="s">
        <v>3874</v>
      </c>
      <c r="R1063" t="s">
        <v>3875</v>
      </c>
      <c r="S1063" t="s">
        <v>36</v>
      </c>
      <c r="T1063" t="str">
        <f>"86436"</f>
        <v>86436</v>
      </c>
      <c r="U1063" t="str">
        <f>"0370"</f>
        <v>0370</v>
      </c>
      <c r="V1063" t="s">
        <v>3876</v>
      </c>
      <c r="X1063" t="s">
        <v>3875</v>
      </c>
      <c r="Y1063" t="s">
        <v>36</v>
      </c>
      <c r="Z1063" t="str">
        <f>"86436"</f>
        <v>86436</v>
      </c>
      <c r="AA1063" t="str">
        <f>"0370"</f>
        <v>0370</v>
      </c>
      <c r="AB1063" t="s">
        <v>516</v>
      </c>
    </row>
    <row r="1064" spans="1:28" x14ac:dyDescent="0.25">
      <c r="A1064">
        <v>4376</v>
      </c>
      <c r="B1064" t="str">
        <f>"080412000"</f>
        <v>080412000</v>
      </c>
      <c r="C1064" t="s">
        <v>3870</v>
      </c>
      <c r="D1064">
        <v>5581</v>
      </c>
      <c r="E1064" t="str">
        <f>"080412012"</f>
        <v>080412012</v>
      </c>
      <c r="F1064" t="s">
        <v>3877</v>
      </c>
      <c r="G1064" t="s">
        <v>42</v>
      </c>
      <c r="H1064" t="s">
        <v>1808</v>
      </c>
      <c r="I1064" t="s">
        <v>3878</v>
      </c>
      <c r="J1064" t="s">
        <v>3763</v>
      </c>
      <c r="K1064" t="str">
        <f>"9287683344"</f>
        <v>9287683344</v>
      </c>
      <c r="L1064" t="str">
        <f>""</f>
        <v/>
      </c>
      <c r="M1064" t="str">
        <f>"9287689253"</f>
        <v>9287689253</v>
      </c>
      <c r="N1064" t="str">
        <f>""</f>
        <v/>
      </c>
      <c r="O1064" t="s">
        <v>3879</v>
      </c>
      <c r="P1064" t="s">
        <v>3880</v>
      </c>
      <c r="R1064" t="s">
        <v>3875</v>
      </c>
      <c r="S1064" t="s">
        <v>36</v>
      </c>
      <c r="T1064" t="str">
        <f>"86436"</f>
        <v>86436</v>
      </c>
      <c r="U1064" t="str">
        <f>""</f>
        <v/>
      </c>
      <c r="V1064" t="s">
        <v>3876</v>
      </c>
      <c r="X1064" t="s">
        <v>3875</v>
      </c>
      <c r="Y1064" t="s">
        <v>36</v>
      </c>
      <c r="Z1064" t="str">
        <f>"86436"</f>
        <v>86436</v>
      </c>
      <c r="AA1064" t="str">
        <f>""</f>
        <v/>
      </c>
      <c r="AB1064" t="s">
        <v>516</v>
      </c>
    </row>
    <row r="1065" spans="1:28" x14ac:dyDescent="0.25">
      <c r="A1065">
        <v>4377</v>
      </c>
      <c r="B1065" t="str">
        <f>"080313000"</f>
        <v>080313000</v>
      </c>
      <c r="C1065" t="s">
        <v>3881</v>
      </c>
      <c r="D1065">
        <v>0</v>
      </c>
      <c r="E1065" t="str">
        <f>""</f>
        <v/>
      </c>
      <c r="G1065" t="s">
        <v>29</v>
      </c>
      <c r="H1065" t="s">
        <v>1271</v>
      </c>
      <c r="I1065" t="s">
        <v>3882</v>
      </c>
      <c r="J1065" t="s">
        <v>3883</v>
      </c>
      <c r="K1065" t="str">
        <f>"9287662581"</f>
        <v>9287662581</v>
      </c>
      <c r="L1065" t="str">
        <f>""</f>
        <v/>
      </c>
      <c r="M1065" t="str">
        <f>"9287662509"</f>
        <v>9287662509</v>
      </c>
      <c r="N1065" t="str">
        <f>""</f>
        <v/>
      </c>
      <c r="O1065" t="s">
        <v>3884</v>
      </c>
      <c r="P1065" t="s">
        <v>3885</v>
      </c>
      <c r="R1065" t="s">
        <v>3886</v>
      </c>
      <c r="S1065" t="s">
        <v>36</v>
      </c>
      <c r="T1065" t="str">
        <f>"86438"</f>
        <v>86438</v>
      </c>
      <c r="U1065" t="str">
        <f>"0128"</f>
        <v>0128</v>
      </c>
      <c r="V1065" t="s">
        <v>3887</v>
      </c>
      <c r="X1065" t="s">
        <v>3886</v>
      </c>
      <c r="Y1065" t="s">
        <v>36</v>
      </c>
      <c r="Z1065" t="str">
        <f>"86438"</f>
        <v>86438</v>
      </c>
      <c r="AA1065" t="str">
        <f>"0128"</f>
        <v>0128</v>
      </c>
      <c r="AB1065" t="s">
        <v>124</v>
      </c>
    </row>
    <row r="1066" spans="1:28" x14ac:dyDescent="0.25">
      <c r="A1066">
        <v>4377</v>
      </c>
      <c r="B1066" t="str">
        <f>"080313000"</f>
        <v>080313000</v>
      </c>
      <c r="C1066" t="s">
        <v>3881</v>
      </c>
      <c r="D1066">
        <v>5582</v>
      </c>
      <c r="E1066" t="str">
        <f>"080313101"</f>
        <v>080313101</v>
      </c>
      <c r="F1066" t="s">
        <v>3888</v>
      </c>
      <c r="G1066" t="s">
        <v>42</v>
      </c>
      <c r="H1066" t="s">
        <v>1271</v>
      </c>
      <c r="I1066" t="s">
        <v>3882</v>
      </c>
      <c r="J1066" t="s">
        <v>3883</v>
      </c>
      <c r="K1066" t="str">
        <f>"9287662581"</f>
        <v>9287662581</v>
      </c>
      <c r="L1066" t="str">
        <f>""</f>
        <v/>
      </c>
      <c r="M1066" t="str">
        <f>"9287662509"</f>
        <v>9287662509</v>
      </c>
      <c r="N1066" t="str">
        <f>""</f>
        <v/>
      </c>
      <c r="O1066" t="s">
        <v>3884</v>
      </c>
      <c r="P1066" t="s">
        <v>3885</v>
      </c>
      <c r="R1066" t="s">
        <v>3886</v>
      </c>
      <c r="S1066" t="s">
        <v>36</v>
      </c>
      <c r="T1066" t="str">
        <f>"86438"</f>
        <v>86438</v>
      </c>
      <c r="U1066" t="str">
        <f>"0128"</f>
        <v>0128</v>
      </c>
      <c r="V1066" t="s">
        <v>3887</v>
      </c>
      <c r="X1066" t="s">
        <v>3886</v>
      </c>
      <c r="Y1066" t="s">
        <v>36</v>
      </c>
      <c r="Z1066" t="str">
        <f>"86438"</f>
        <v>86438</v>
      </c>
      <c r="AA1066" t="str">
        <f>""</f>
        <v/>
      </c>
      <c r="AB1066" t="s">
        <v>124</v>
      </c>
    </row>
    <row r="1067" spans="1:28" x14ac:dyDescent="0.25">
      <c r="A1067">
        <v>4378</v>
      </c>
      <c r="B1067" t="str">
        <f t="shared" ref="B1067:B1073" si="168">"080415000"</f>
        <v>080415000</v>
      </c>
      <c r="C1067" t="s">
        <v>3889</v>
      </c>
      <c r="D1067">
        <v>0</v>
      </c>
      <c r="E1067" t="str">
        <f>""</f>
        <v/>
      </c>
      <c r="G1067" t="s">
        <v>29</v>
      </c>
      <c r="H1067" t="s">
        <v>3890</v>
      </c>
      <c r="I1067" t="s">
        <v>3891</v>
      </c>
      <c r="J1067" t="s">
        <v>3892</v>
      </c>
      <c r="K1067" t="str">
        <f>"9287045731"</f>
        <v>9287045731</v>
      </c>
      <c r="L1067" t="str">
        <f>""</f>
        <v/>
      </c>
      <c r="M1067" t="str">
        <f t="shared" ref="M1067:M1073" si="169">"9287045749"</f>
        <v>9287045749</v>
      </c>
      <c r="N1067" t="str">
        <f>""</f>
        <v/>
      </c>
      <c r="O1067" t="s">
        <v>3893</v>
      </c>
      <c r="P1067" t="s">
        <v>3894</v>
      </c>
      <c r="R1067" t="s">
        <v>3895</v>
      </c>
      <c r="S1067" t="s">
        <v>36</v>
      </c>
      <c r="T1067" t="str">
        <f t="shared" ref="T1067:T1073" si="170">"86442"</f>
        <v>86442</v>
      </c>
      <c r="U1067" t="str">
        <f>""</f>
        <v/>
      </c>
      <c r="V1067" t="s">
        <v>3894</v>
      </c>
      <c r="X1067" t="s">
        <v>3895</v>
      </c>
      <c r="Y1067" t="s">
        <v>36</v>
      </c>
      <c r="Z1067" t="str">
        <f t="shared" ref="Z1067:Z1073" si="171">"86442"</f>
        <v>86442</v>
      </c>
      <c r="AA1067" t="str">
        <f>""</f>
        <v/>
      </c>
      <c r="AB1067" t="s">
        <v>516</v>
      </c>
    </row>
    <row r="1068" spans="1:28" x14ac:dyDescent="0.25">
      <c r="A1068">
        <v>4378</v>
      </c>
      <c r="B1068" t="str">
        <f t="shared" si="168"/>
        <v>080415000</v>
      </c>
      <c r="C1068" t="s">
        <v>3889</v>
      </c>
      <c r="D1068">
        <v>5583</v>
      </c>
      <c r="E1068" t="str">
        <f>"080415103"</f>
        <v>080415103</v>
      </c>
      <c r="F1068" t="s">
        <v>3896</v>
      </c>
      <c r="G1068" t="s">
        <v>42</v>
      </c>
      <c r="H1068" t="s">
        <v>3897</v>
      </c>
      <c r="I1068" t="s">
        <v>3898</v>
      </c>
      <c r="J1068" t="s">
        <v>449</v>
      </c>
      <c r="K1068" t="str">
        <f t="shared" ref="K1068:K1073" si="172">"9287583961"</f>
        <v>9287583961</v>
      </c>
      <c r="L1068" t="str">
        <f>""</f>
        <v/>
      </c>
      <c r="M1068" t="str">
        <f t="shared" si="169"/>
        <v>9287045749</v>
      </c>
      <c r="N1068" t="str">
        <f>""</f>
        <v/>
      </c>
      <c r="O1068" t="s">
        <v>3899</v>
      </c>
      <c r="P1068" t="s">
        <v>3894</v>
      </c>
      <c r="R1068" t="s">
        <v>3895</v>
      </c>
      <c r="S1068" t="s">
        <v>36</v>
      </c>
      <c r="T1068" t="str">
        <f t="shared" si="170"/>
        <v>86442</v>
      </c>
      <c r="U1068" t="str">
        <f>""</f>
        <v/>
      </c>
      <c r="V1068" t="s">
        <v>3900</v>
      </c>
      <c r="X1068" t="s">
        <v>3895</v>
      </c>
      <c r="Y1068" t="s">
        <v>36</v>
      </c>
      <c r="Z1068" t="str">
        <f t="shared" si="171"/>
        <v>86442</v>
      </c>
      <c r="AA1068" t="str">
        <f>""</f>
        <v/>
      </c>
      <c r="AB1068" t="s">
        <v>516</v>
      </c>
    </row>
    <row r="1069" spans="1:28" x14ac:dyDescent="0.25">
      <c r="A1069">
        <v>4378</v>
      </c>
      <c r="B1069" t="str">
        <f t="shared" si="168"/>
        <v>080415000</v>
      </c>
      <c r="C1069" t="s">
        <v>3889</v>
      </c>
      <c r="D1069">
        <v>5584</v>
      </c>
      <c r="E1069" t="str">
        <f>"080415105"</f>
        <v>080415105</v>
      </c>
      <c r="F1069" t="s">
        <v>3901</v>
      </c>
      <c r="G1069" t="s">
        <v>42</v>
      </c>
      <c r="H1069" t="s">
        <v>3897</v>
      </c>
      <c r="I1069" t="s">
        <v>3898</v>
      </c>
      <c r="J1069" t="s">
        <v>449</v>
      </c>
      <c r="K1069" t="str">
        <f t="shared" si="172"/>
        <v>9287583961</v>
      </c>
      <c r="L1069" t="str">
        <f>""</f>
        <v/>
      </c>
      <c r="M1069" t="str">
        <f t="shared" si="169"/>
        <v>9287045749</v>
      </c>
      <c r="N1069" t="str">
        <f>""</f>
        <v/>
      </c>
      <c r="O1069" t="s">
        <v>3899</v>
      </c>
      <c r="P1069" t="s">
        <v>3894</v>
      </c>
      <c r="R1069" t="s">
        <v>3895</v>
      </c>
      <c r="S1069" t="s">
        <v>36</v>
      </c>
      <c r="T1069" t="str">
        <f t="shared" si="170"/>
        <v>86442</v>
      </c>
      <c r="U1069" t="str">
        <f>""</f>
        <v/>
      </c>
      <c r="V1069" t="s">
        <v>3902</v>
      </c>
      <c r="X1069" t="s">
        <v>3895</v>
      </c>
      <c r="Y1069" t="s">
        <v>36</v>
      </c>
      <c r="Z1069" t="str">
        <f t="shared" si="171"/>
        <v>86442</v>
      </c>
      <c r="AA1069" t="str">
        <f>""</f>
        <v/>
      </c>
      <c r="AB1069" t="s">
        <v>516</v>
      </c>
    </row>
    <row r="1070" spans="1:28" x14ac:dyDescent="0.25">
      <c r="A1070">
        <v>4378</v>
      </c>
      <c r="B1070" t="str">
        <f t="shared" si="168"/>
        <v>080415000</v>
      </c>
      <c r="C1070" t="s">
        <v>3889</v>
      </c>
      <c r="D1070">
        <v>5585</v>
      </c>
      <c r="E1070" t="str">
        <f>"080415107"</f>
        <v>080415107</v>
      </c>
      <c r="F1070" t="s">
        <v>3903</v>
      </c>
      <c r="G1070" t="s">
        <v>42</v>
      </c>
      <c r="H1070" t="s">
        <v>3897</v>
      </c>
      <c r="I1070" t="s">
        <v>3898</v>
      </c>
      <c r="J1070" t="s">
        <v>449</v>
      </c>
      <c r="K1070" t="str">
        <f t="shared" si="172"/>
        <v>9287583961</v>
      </c>
      <c r="L1070" t="str">
        <f>""</f>
        <v/>
      </c>
      <c r="M1070" t="str">
        <f t="shared" si="169"/>
        <v>9287045749</v>
      </c>
      <c r="N1070" t="str">
        <f>""</f>
        <v/>
      </c>
      <c r="O1070" t="s">
        <v>3899</v>
      </c>
      <c r="P1070" t="s">
        <v>3894</v>
      </c>
      <c r="R1070" t="s">
        <v>3895</v>
      </c>
      <c r="S1070" t="s">
        <v>36</v>
      </c>
      <c r="T1070" t="str">
        <f t="shared" si="170"/>
        <v>86442</v>
      </c>
      <c r="U1070" t="str">
        <f>""</f>
        <v/>
      </c>
      <c r="V1070" t="s">
        <v>3904</v>
      </c>
      <c r="X1070" t="s">
        <v>3895</v>
      </c>
      <c r="Y1070" t="s">
        <v>36</v>
      </c>
      <c r="Z1070" t="str">
        <f t="shared" si="171"/>
        <v>86442</v>
      </c>
      <c r="AA1070" t="str">
        <f>""</f>
        <v/>
      </c>
      <c r="AB1070" t="s">
        <v>516</v>
      </c>
    </row>
    <row r="1071" spans="1:28" x14ac:dyDescent="0.25">
      <c r="A1071">
        <v>4378</v>
      </c>
      <c r="B1071" t="str">
        <f t="shared" si="168"/>
        <v>080415000</v>
      </c>
      <c r="C1071" t="s">
        <v>3889</v>
      </c>
      <c r="D1071">
        <v>5587</v>
      </c>
      <c r="E1071" t="str">
        <f>"080415130"</f>
        <v>080415130</v>
      </c>
      <c r="F1071" t="s">
        <v>3905</v>
      </c>
      <c r="G1071" t="s">
        <v>42</v>
      </c>
      <c r="H1071" t="s">
        <v>3897</v>
      </c>
      <c r="I1071" t="s">
        <v>3898</v>
      </c>
      <c r="J1071" t="s">
        <v>449</v>
      </c>
      <c r="K1071" t="str">
        <f t="shared" si="172"/>
        <v>9287583961</v>
      </c>
      <c r="L1071" t="str">
        <f>""</f>
        <v/>
      </c>
      <c r="M1071" t="str">
        <f t="shared" si="169"/>
        <v>9287045749</v>
      </c>
      <c r="N1071" t="str">
        <f>""</f>
        <v/>
      </c>
      <c r="O1071" t="s">
        <v>3899</v>
      </c>
      <c r="P1071" t="s">
        <v>3894</v>
      </c>
      <c r="R1071" t="s">
        <v>3895</v>
      </c>
      <c r="S1071" t="s">
        <v>36</v>
      </c>
      <c r="T1071" t="str">
        <f t="shared" si="170"/>
        <v>86442</v>
      </c>
      <c r="U1071" t="str">
        <f>""</f>
        <v/>
      </c>
      <c r="V1071" t="s">
        <v>3906</v>
      </c>
      <c r="X1071" t="s">
        <v>3895</v>
      </c>
      <c r="Y1071" t="s">
        <v>36</v>
      </c>
      <c r="Z1071" t="str">
        <f t="shared" si="171"/>
        <v>86442</v>
      </c>
      <c r="AA1071" t="str">
        <f>""</f>
        <v/>
      </c>
      <c r="AB1071" t="s">
        <v>516</v>
      </c>
    </row>
    <row r="1072" spans="1:28" x14ac:dyDescent="0.25">
      <c r="A1072">
        <v>4378</v>
      </c>
      <c r="B1072" t="str">
        <f t="shared" si="168"/>
        <v>080415000</v>
      </c>
      <c r="C1072" t="s">
        <v>3889</v>
      </c>
      <c r="D1072">
        <v>6048</v>
      </c>
      <c r="E1072" t="str">
        <f>"080415110"</f>
        <v>080415110</v>
      </c>
      <c r="F1072" t="s">
        <v>3907</v>
      </c>
      <c r="G1072" t="s">
        <v>42</v>
      </c>
      <c r="H1072" t="s">
        <v>3897</v>
      </c>
      <c r="I1072" t="s">
        <v>3898</v>
      </c>
      <c r="J1072" t="s">
        <v>449</v>
      </c>
      <c r="K1072" t="str">
        <f t="shared" si="172"/>
        <v>9287583961</v>
      </c>
      <c r="L1072" t="str">
        <f>""</f>
        <v/>
      </c>
      <c r="M1072" t="str">
        <f t="shared" si="169"/>
        <v>9287045749</v>
      </c>
      <c r="N1072" t="str">
        <f>""</f>
        <v/>
      </c>
      <c r="O1072" t="s">
        <v>3899</v>
      </c>
      <c r="P1072" t="s">
        <v>3894</v>
      </c>
      <c r="R1072" t="s">
        <v>3895</v>
      </c>
      <c r="S1072" t="s">
        <v>36</v>
      </c>
      <c r="T1072" t="str">
        <f t="shared" si="170"/>
        <v>86442</v>
      </c>
      <c r="U1072" t="str">
        <f>""</f>
        <v/>
      </c>
      <c r="V1072" t="s">
        <v>3908</v>
      </c>
      <c r="X1072" t="s">
        <v>3895</v>
      </c>
      <c r="Y1072" t="s">
        <v>36</v>
      </c>
      <c r="Z1072" t="str">
        <f t="shared" si="171"/>
        <v>86442</v>
      </c>
      <c r="AA1072" t="str">
        <f>""</f>
        <v/>
      </c>
      <c r="AB1072" t="s">
        <v>516</v>
      </c>
    </row>
    <row r="1073" spans="1:28" x14ac:dyDescent="0.25">
      <c r="A1073">
        <v>4378</v>
      </c>
      <c r="B1073" t="str">
        <f t="shared" si="168"/>
        <v>080415000</v>
      </c>
      <c r="C1073" t="s">
        <v>3889</v>
      </c>
      <c r="D1073">
        <v>79655</v>
      </c>
      <c r="E1073" t="str">
        <f>"080415104"</f>
        <v>080415104</v>
      </c>
      <c r="F1073" t="s">
        <v>3909</v>
      </c>
      <c r="G1073" t="s">
        <v>42</v>
      </c>
      <c r="H1073" t="s">
        <v>3897</v>
      </c>
      <c r="I1073" t="s">
        <v>3898</v>
      </c>
      <c r="J1073" t="s">
        <v>449</v>
      </c>
      <c r="K1073" t="str">
        <f t="shared" si="172"/>
        <v>9287583961</v>
      </c>
      <c r="L1073" t="str">
        <f>""</f>
        <v/>
      </c>
      <c r="M1073" t="str">
        <f t="shared" si="169"/>
        <v>9287045749</v>
      </c>
      <c r="N1073" t="str">
        <f>""</f>
        <v/>
      </c>
      <c r="O1073" t="s">
        <v>3899</v>
      </c>
      <c r="P1073" t="s">
        <v>3894</v>
      </c>
      <c r="R1073" t="s">
        <v>3895</v>
      </c>
      <c r="S1073" t="s">
        <v>36</v>
      </c>
      <c r="T1073" t="str">
        <f t="shared" si="170"/>
        <v>86442</v>
      </c>
      <c r="U1073" t="str">
        <f>""</f>
        <v/>
      </c>
      <c r="V1073" t="s">
        <v>3910</v>
      </c>
      <c r="X1073" t="s">
        <v>3895</v>
      </c>
      <c r="Y1073" t="s">
        <v>36</v>
      </c>
      <c r="Z1073" t="str">
        <f t="shared" si="171"/>
        <v>86442</v>
      </c>
      <c r="AA1073" t="str">
        <f>""</f>
        <v/>
      </c>
      <c r="AB1073" t="s">
        <v>516</v>
      </c>
    </row>
    <row r="1074" spans="1:28" x14ac:dyDescent="0.25">
      <c r="A1074">
        <v>4379</v>
      </c>
      <c r="B1074" t="str">
        <f>"080416000"</f>
        <v>080416000</v>
      </c>
      <c r="C1074" t="s">
        <v>3911</v>
      </c>
      <c r="D1074">
        <v>0</v>
      </c>
      <c r="E1074" t="str">
        <f>""</f>
        <v/>
      </c>
      <c r="G1074" t="s">
        <v>29</v>
      </c>
      <c r="H1074" t="s">
        <v>3912</v>
      </c>
      <c r="I1074" t="s">
        <v>3913</v>
      </c>
      <c r="J1074" t="s">
        <v>32</v>
      </c>
      <c r="K1074" t="str">
        <f>"9287682507"</f>
        <v>9287682507</v>
      </c>
      <c r="L1074" t="str">
        <f>"8006"</f>
        <v>8006</v>
      </c>
      <c r="M1074" t="str">
        <f>"9287682510"</f>
        <v>9287682510</v>
      </c>
      <c r="N1074" t="str">
        <f>""</f>
        <v/>
      </c>
      <c r="O1074" t="s">
        <v>3914</v>
      </c>
      <c r="P1074" t="s">
        <v>3915</v>
      </c>
      <c r="R1074" t="s">
        <v>3916</v>
      </c>
      <c r="S1074" t="s">
        <v>36</v>
      </c>
      <c r="T1074" t="str">
        <f>"86440"</f>
        <v>86440</v>
      </c>
      <c r="U1074" t="str">
        <f>""</f>
        <v/>
      </c>
      <c r="V1074" t="s">
        <v>3915</v>
      </c>
      <c r="X1074" t="s">
        <v>3916</v>
      </c>
      <c r="Y1074" t="s">
        <v>36</v>
      </c>
      <c r="Z1074" t="str">
        <f>"86440"</f>
        <v>86440</v>
      </c>
      <c r="AA1074" t="str">
        <f>""</f>
        <v/>
      </c>
      <c r="AB1074" t="s">
        <v>124</v>
      </c>
    </row>
    <row r="1075" spans="1:28" x14ac:dyDescent="0.25">
      <c r="A1075">
        <v>4379</v>
      </c>
      <c r="B1075" t="str">
        <f>"080416000"</f>
        <v>080416000</v>
      </c>
      <c r="C1075" t="s">
        <v>3911</v>
      </c>
      <c r="D1075">
        <v>5589</v>
      </c>
      <c r="E1075" t="str">
        <f>"080416103"</f>
        <v>080416103</v>
      </c>
      <c r="F1075" t="s">
        <v>3917</v>
      </c>
      <c r="G1075" t="s">
        <v>42</v>
      </c>
      <c r="H1075" t="s">
        <v>1694</v>
      </c>
      <c r="I1075" t="s">
        <v>3918</v>
      </c>
      <c r="J1075" t="s">
        <v>3919</v>
      </c>
      <c r="K1075" t="str">
        <f>"8059442586"</f>
        <v>8059442586</v>
      </c>
      <c r="L1075" t="str">
        <f>""</f>
        <v/>
      </c>
      <c r="M1075" t="str">
        <f>"9287681129"</f>
        <v>9287681129</v>
      </c>
      <c r="N1075" t="str">
        <f>""</f>
        <v/>
      </c>
      <c r="O1075" t="s">
        <v>3920</v>
      </c>
      <c r="P1075" t="s">
        <v>3921</v>
      </c>
      <c r="R1075" t="s">
        <v>3916</v>
      </c>
      <c r="S1075" t="s">
        <v>36</v>
      </c>
      <c r="T1075" t="str">
        <f>"86440"</f>
        <v>86440</v>
      </c>
      <c r="U1075" t="str">
        <f>""</f>
        <v/>
      </c>
      <c r="V1075" t="s">
        <v>3921</v>
      </c>
      <c r="X1075" t="s">
        <v>3916</v>
      </c>
      <c r="Y1075" t="s">
        <v>36</v>
      </c>
      <c r="Z1075" t="str">
        <f>"86440"</f>
        <v>86440</v>
      </c>
      <c r="AA1075" t="str">
        <f>""</f>
        <v/>
      </c>
      <c r="AB1075" t="s">
        <v>124</v>
      </c>
    </row>
    <row r="1076" spans="1:28" x14ac:dyDescent="0.25">
      <c r="A1076">
        <v>4379</v>
      </c>
      <c r="B1076" t="str">
        <f>"080416000"</f>
        <v>080416000</v>
      </c>
      <c r="C1076" t="s">
        <v>3911</v>
      </c>
      <c r="D1076">
        <v>5590</v>
      </c>
      <c r="E1076" t="str">
        <f>"080416104"</f>
        <v>080416104</v>
      </c>
      <c r="F1076" t="s">
        <v>3922</v>
      </c>
      <c r="G1076" t="s">
        <v>42</v>
      </c>
      <c r="H1076" t="s">
        <v>1694</v>
      </c>
      <c r="I1076" t="s">
        <v>3918</v>
      </c>
      <c r="J1076" t="s">
        <v>3919</v>
      </c>
      <c r="K1076" t="str">
        <f>"8059442586"</f>
        <v>8059442586</v>
      </c>
      <c r="L1076" t="str">
        <f>""</f>
        <v/>
      </c>
      <c r="M1076" t="str">
        <f>"9287688075"</f>
        <v>9287688075</v>
      </c>
      <c r="N1076" t="str">
        <f>""</f>
        <v/>
      </c>
      <c r="O1076" t="s">
        <v>3920</v>
      </c>
      <c r="P1076" t="s">
        <v>3923</v>
      </c>
      <c r="R1076" t="s">
        <v>3924</v>
      </c>
      <c r="S1076" t="s">
        <v>36</v>
      </c>
      <c r="T1076" t="str">
        <f>"86426"</f>
        <v>86426</v>
      </c>
      <c r="U1076" t="str">
        <f>""</f>
        <v/>
      </c>
      <c r="V1076" t="s">
        <v>3923</v>
      </c>
      <c r="X1076" t="s">
        <v>3924</v>
      </c>
      <c r="Y1076" t="s">
        <v>36</v>
      </c>
      <c r="Z1076" t="str">
        <f>"86426"</f>
        <v>86426</v>
      </c>
      <c r="AA1076" t="str">
        <f>""</f>
        <v/>
      </c>
      <c r="AB1076" t="s">
        <v>124</v>
      </c>
    </row>
    <row r="1077" spans="1:28" x14ac:dyDescent="0.25">
      <c r="A1077">
        <v>4379</v>
      </c>
      <c r="B1077" t="str">
        <f>"080416000"</f>
        <v>080416000</v>
      </c>
      <c r="C1077" t="s">
        <v>3911</v>
      </c>
      <c r="D1077">
        <v>6049</v>
      </c>
      <c r="E1077" t="str">
        <f>"080416105"</f>
        <v>080416105</v>
      </c>
      <c r="F1077" t="s">
        <v>3925</v>
      </c>
      <c r="G1077" t="s">
        <v>42</v>
      </c>
      <c r="H1077" t="s">
        <v>1694</v>
      </c>
      <c r="I1077" t="s">
        <v>3918</v>
      </c>
      <c r="J1077" t="s">
        <v>3919</v>
      </c>
      <c r="K1077" t="str">
        <f>"8059442586"</f>
        <v>8059442586</v>
      </c>
      <c r="L1077" t="str">
        <f>""</f>
        <v/>
      </c>
      <c r="M1077" t="str">
        <f>"9287043663"</f>
        <v>9287043663</v>
      </c>
      <c r="N1077" t="str">
        <f>""</f>
        <v/>
      </c>
      <c r="O1077" t="s">
        <v>3920</v>
      </c>
      <c r="P1077" t="s">
        <v>3926</v>
      </c>
      <c r="R1077" t="s">
        <v>3924</v>
      </c>
      <c r="S1077" t="s">
        <v>36</v>
      </c>
      <c r="T1077" t="str">
        <f>"86426"</f>
        <v>86426</v>
      </c>
      <c r="U1077" t="str">
        <f>""</f>
        <v/>
      </c>
      <c r="V1077" t="s">
        <v>3926</v>
      </c>
      <c r="X1077" t="s">
        <v>3924</v>
      </c>
      <c r="Y1077" t="s">
        <v>36</v>
      </c>
      <c r="Z1077" t="str">
        <f>"86426"</f>
        <v>86426</v>
      </c>
      <c r="AA1077" t="str">
        <f>""</f>
        <v/>
      </c>
      <c r="AB1077" t="s">
        <v>124</v>
      </c>
    </row>
    <row r="1078" spans="1:28" x14ac:dyDescent="0.25">
      <c r="A1078">
        <v>4381</v>
      </c>
      <c r="B1078" t="str">
        <f>"080502000"</f>
        <v>080502000</v>
      </c>
      <c r="C1078" t="s">
        <v>3927</v>
      </c>
      <c r="D1078">
        <v>0</v>
      </c>
      <c r="E1078" t="str">
        <f>""</f>
        <v/>
      </c>
      <c r="G1078" t="s">
        <v>29</v>
      </c>
      <c r="H1078" t="s">
        <v>3928</v>
      </c>
      <c r="I1078" t="s">
        <v>3929</v>
      </c>
      <c r="J1078" t="s">
        <v>134</v>
      </c>
      <c r="K1078" t="str">
        <f>"9282193005"</f>
        <v>9282193005</v>
      </c>
      <c r="L1078" t="str">
        <f>""</f>
        <v/>
      </c>
      <c r="M1078" t="str">
        <f>"9287584996"</f>
        <v>9287584996</v>
      </c>
      <c r="N1078" t="str">
        <f>""</f>
        <v/>
      </c>
      <c r="O1078" t="s">
        <v>3930</v>
      </c>
      <c r="P1078" t="s">
        <v>3931</v>
      </c>
      <c r="R1078" t="s">
        <v>3895</v>
      </c>
      <c r="S1078" t="s">
        <v>36</v>
      </c>
      <c r="T1078" t="str">
        <f>"86439"</f>
        <v>86439</v>
      </c>
      <c r="U1078" t="str">
        <f>"1479"</f>
        <v>1479</v>
      </c>
      <c r="V1078" t="s">
        <v>3932</v>
      </c>
      <c r="W1078" t="s">
        <v>3933</v>
      </c>
      <c r="X1078" t="s">
        <v>3895</v>
      </c>
      <c r="Y1078" t="s">
        <v>36</v>
      </c>
      <c r="Z1078" t="str">
        <f>"86426"</f>
        <v>86426</v>
      </c>
      <c r="AA1078" t="str">
        <f>""</f>
        <v/>
      </c>
      <c r="AB1078" t="s">
        <v>217</v>
      </c>
    </row>
    <row r="1079" spans="1:28" x14ac:dyDescent="0.25">
      <c r="A1079">
        <v>4381</v>
      </c>
      <c r="B1079" t="str">
        <f>"080502000"</f>
        <v>080502000</v>
      </c>
      <c r="C1079" t="s">
        <v>3927</v>
      </c>
      <c r="D1079">
        <v>5592</v>
      </c>
      <c r="E1079" t="str">
        <f>"080502001"</f>
        <v>080502001</v>
      </c>
      <c r="F1079" t="s">
        <v>3934</v>
      </c>
      <c r="G1079" t="s">
        <v>42</v>
      </c>
      <c r="H1079" t="s">
        <v>3928</v>
      </c>
      <c r="I1079" t="s">
        <v>3929</v>
      </c>
      <c r="J1079" t="s">
        <v>134</v>
      </c>
      <c r="K1079" t="str">
        <f>"9282193005"</f>
        <v>9282193005</v>
      </c>
      <c r="L1079" t="str">
        <f>""</f>
        <v/>
      </c>
      <c r="M1079" t="str">
        <f>"9282193050"</f>
        <v>9282193050</v>
      </c>
      <c r="N1079" t="str">
        <f>""</f>
        <v/>
      </c>
      <c r="O1079" t="s">
        <v>3930</v>
      </c>
      <c r="P1079" t="s">
        <v>3935</v>
      </c>
      <c r="R1079" t="s">
        <v>3895</v>
      </c>
      <c r="S1079" t="s">
        <v>36</v>
      </c>
      <c r="T1079" t="str">
        <f>"86439"</f>
        <v>86439</v>
      </c>
      <c r="U1079" t="str">
        <f>""</f>
        <v/>
      </c>
      <c r="V1079" t="s">
        <v>3936</v>
      </c>
      <c r="X1079" t="s">
        <v>3895</v>
      </c>
      <c r="Y1079" t="s">
        <v>36</v>
      </c>
      <c r="Z1079" t="str">
        <f>"86442"</f>
        <v>86442</v>
      </c>
      <c r="AA1079" t="str">
        <f>""</f>
        <v/>
      </c>
      <c r="AB1079" t="s">
        <v>217</v>
      </c>
    </row>
    <row r="1080" spans="1:28" x14ac:dyDescent="0.25">
      <c r="A1080">
        <v>4381</v>
      </c>
      <c r="B1080" t="str">
        <f>"080502000"</f>
        <v>080502000</v>
      </c>
      <c r="C1080" t="s">
        <v>3927</v>
      </c>
      <c r="D1080">
        <v>5593</v>
      </c>
      <c r="E1080" t="str">
        <f>"080502002"</f>
        <v>080502002</v>
      </c>
      <c r="F1080" t="s">
        <v>3937</v>
      </c>
      <c r="G1080" t="s">
        <v>42</v>
      </c>
      <c r="H1080" t="s">
        <v>3928</v>
      </c>
      <c r="I1080" t="s">
        <v>3929</v>
      </c>
      <c r="J1080" t="s">
        <v>134</v>
      </c>
      <c r="K1080" t="str">
        <f>"9282193005"</f>
        <v>9282193005</v>
      </c>
      <c r="L1080" t="str">
        <f>""</f>
        <v/>
      </c>
      <c r="M1080" t="str">
        <f>"9282193050"</f>
        <v>9282193050</v>
      </c>
      <c r="N1080" t="str">
        <f>""</f>
        <v/>
      </c>
      <c r="O1080" t="s">
        <v>3930</v>
      </c>
      <c r="P1080" t="s">
        <v>3938</v>
      </c>
      <c r="R1080" t="s">
        <v>3895</v>
      </c>
      <c r="S1080" t="s">
        <v>36</v>
      </c>
      <c r="T1080" t="str">
        <f>"86439"</f>
        <v>86439</v>
      </c>
      <c r="U1080" t="str">
        <f>""</f>
        <v/>
      </c>
      <c r="V1080" t="s">
        <v>3939</v>
      </c>
      <c r="X1080" t="s">
        <v>3916</v>
      </c>
      <c r="Y1080" t="s">
        <v>36</v>
      </c>
      <c r="Z1080" t="str">
        <f>"86440"</f>
        <v>86440</v>
      </c>
      <c r="AA1080" t="str">
        <f>""</f>
        <v/>
      </c>
      <c r="AB1080" t="s">
        <v>217</v>
      </c>
    </row>
    <row r="1081" spans="1:28" x14ac:dyDescent="0.25">
      <c r="A1081">
        <v>4381</v>
      </c>
      <c r="B1081" t="str">
        <f>"080502000"</f>
        <v>080502000</v>
      </c>
      <c r="C1081" t="s">
        <v>3927</v>
      </c>
      <c r="D1081">
        <v>90858</v>
      </c>
      <c r="E1081" t="str">
        <f>"080502004"</f>
        <v>080502004</v>
      </c>
      <c r="F1081" t="s">
        <v>3940</v>
      </c>
      <c r="G1081" t="s">
        <v>42</v>
      </c>
      <c r="H1081" t="s">
        <v>3928</v>
      </c>
      <c r="I1081" t="s">
        <v>3929</v>
      </c>
      <c r="J1081" t="s">
        <v>134</v>
      </c>
      <c r="K1081" t="str">
        <f>"9282193005"</f>
        <v>9282193005</v>
      </c>
      <c r="L1081" t="str">
        <f>""</f>
        <v/>
      </c>
      <c r="M1081" t="str">
        <f>"9282193050"</f>
        <v>9282193050</v>
      </c>
      <c r="N1081" t="str">
        <f>""</f>
        <v/>
      </c>
      <c r="O1081" t="s">
        <v>3930</v>
      </c>
      <c r="P1081" t="s">
        <v>3938</v>
      </c>
      <c r="R1081" t="s">
        <v>3895</v>
      </c>
      <c r="S1081" t="s">
        <v>36</v>
      </c>
      <c r="T1081" t="str">
        <f>"86349"</f>
        <v>86349</v>
      </c>
      <c r="U1081" t="str">
        <f>""</f>
        <v/>
      </c>
      <c r="V1081" t="s">
        <v>3941</v>
      </c>
      <c r="X1081" t="s">
        <v>3895</v>
      </c>
      <c r="Y1081" t="s">
        <v>36</v>
      </c>
      <c r="Z1081" t="str">
        <f>"86442"</f>
        <v>86442</v>
      </c>
      <c r="AA1081" t="str">
        <f>""</f>
        <v/>
      </c>
      <c r="AB1081" t="s">
        <v>217</v>
      </c>
    </row>
    <row r="1082" spans="1:28" x14ac:dyDescent="0.25">
      <c r="A1082">
        <v>4383</v>
      </c>
      <c r="B1082" t="str">
        <f>"088620000"</f>
        <v>088620000</v>
      </c>
      <c r="C1082" t="s">
        <v>3942</v>
      </c>
      <c r="D1082">
        <v>0</v>
      </c>
      <c r="E1082" t="str">
        <f>""</f>
        <v/>
      </c>
      <c r="G1082" t="s">
        <v>29</v>
      </c>
      <c r="H1082" t="s">
        <v>3689</v>
      </c>
      <c r="I1082" t="s">
        <v>3943</v>
      </c>
      <c r="J1082" t="s">
        <v>3944</v>
      </c>
      <c r="K1082" t="str">
        <f>"9286812400"</f>
        <v>9286812400</v>
      </c>
      <c r="L1082" t="str">
        <f>""</f>
        <v/>
      </c>
      <c r="M1082" t="str">
        <f>"9286812424"</f>
        <v>9286812424</v>
      </c>
      <c r="N1082" t="str">
        <f>""</f>
        <v/>
      </c>
      <c r="O1082" t="s">
        <v>3945</v>
      </c>
      <c r="P1082" t="s">
        <v>3946</v>
      </c>
      <c r="R1082" t="s">
        <v>3947</v>
      </c>
      <c r="S1082" t="s">
        <v>36</v>
      </c>
      <c r="T1082" t="str">
        <f>"86409"</f>
        <v>86409</v>
      </c>
      <c r="U1082" t="str">
        <f>""</f>
        <v/>
      </c>
      <c r="V1082" t="s">
        <v>3946</v>
      </c>
      <c r="X1082" t="s">
        <v>3947</v>
      </c>
      <c r="Y1082" t="s">
        <v>36</v>
      </c>
      <c r="Z1082" t="str">
        <f>"86409"</f>
        <v>86409</v>
      </c>
      <c r="AA1082" t="str">
        <f>""</f>
        <v/>
      </c>
      <c r="AB1082" t="s">
        <v>56</v>
      </c>
    </row>
    <row r="1083" spans="1:28" x14ac:dyDescent="0.25">
      <c r="A1083">
        <v>4383</v>
      </c>
      <c r="B1083" t="str">
        <f>"088620000"</f>
        <v>088620000</v>
      </c>
      <c r="C1083" t="s">
        <v>3942</v>
      </c>
      <c r="D1083">
        <v>5596</v>
      </c>
      <c r="E1083" t="str">
        <f>"088620101"</f>
        <v>088620101</v>
      </c>
      <c r="F1083" t="s">
        <v>3948</v>
      </c>
      <c r="G1083" t="s">
        <v>42</v>
      </c>
      <c r="H1083" t="s">
        <v>3689</v>
      </c>
      <c r="I1083" t="s">
        <v>3943</v>
      </c>
      <c r="J1083" t="s">
        <v>3944</v>
      </c>
      <c r="K1083" t="str">
        <f>"9286812400"</f>
        <v>9286812400</v>
      </c>
      <c r="L1083" t="str">
        <f>""</f>
        <v/>
      </c>
      <c r="M1083" t="str">
        <f>"9286812424"</f>
        <v>9286812424</v>
      </c>
      <c r="N1083" t="str">
        <f>""</f>
        <v/>
      </c>
      <c r="O1083" t="s">
        <v>3945</v>
      </c>
      <c r="P1083" t="s">
        <v>3946</v>
      </c>
      <c r="R1083" t="s">
        <v>3947</v>
      </c>
      <c r="S1083" t="s">
        <v>36</v>
      </c>
      <c r="T1083" t="str">
        <f>"86409"</f>
        <v>86409</v>
      </c>
      <c r="U1083" t="str">
        <f>""</f>
        <v/>
      </c>
      <c r="V1083" t="s">
        <v>3949</v>
      </c>
      <c r="X1083" t="s">
        <v>3947</v>
      </c>
      <c r="Y1083" t="s">
        <v>36</v>
      </c>
      <c r="Z1083" t="str">
        <f>"86409"</f>
        <v>86409</v>
      </c>
      <c r="AA1083" t="str">
        <f>""</f>
        <v/>
      </c>
      <c r="AB1083" t="s">
        <v>56</v>
      </c>
    </row>
    <row r="1084" spans="1:28" x14ac:dyDescent="0.25">
      <c r="A1084">
        <v>4383</v>
      </c>
      <c r="B1084" t="str">
        <f>"088620000"</f>
        <v>088620000</v>
      </c>
      <c r="C1084" t="s">
        <v>3942</v>
      </c>
      <c r="D1084">
        <v>5597</v>
      </c>
      <c r="E1084" t="str">
        <f>"088620102"</f>
        <v>088620102</v>
      </c>
      <c r="F1084" t="s">
        <v>3950</v>
      </c>
      <c r="G1084" t="s">
        <v>42</v>
      </c>
      <c r="H1084" t="s">
        <v>3689</v>
      </c>
      <c r="I1084" t="s">
        <v>3943</v>
      </c>
      <c r="J1084" t="s">
        <v>3944</v>
      </c>
      <c r="K1084" t="str">
        <f>"9286812400"</f>
        <v>9286812400</v>
      </c>
      <c r="L1084" t="str">
        <f>""</f>
        <v/>
      </c>
      <c r="M1084" t="str">
        <f>"9286812424"</f>
        <v>9286812424</v>
      </c>
      <c r="N1084" t="str">
        <f>""</f>
        <v/>
      </c>
      <c r="O1084" t="s">
        <v>3945</v>
      </c>
      <c r="P1084" t="s">
        <v>3946</v>
      </c>
      <c r="R1084" t="s">
        <v>3947</v>
      </c>
      <c r="S1084" t="s">
        <v>36</v>
      </c>
      <c r="T1084" t="str">
        <f>"86409"</f>
        <v>86409</v>
      </c>
      <c r="U1084" t="str">
        <f>""</f>
        <v/>
      </c>
      <c r="V1084" t="s">
        <v>3951</v>
      </c>
      <c r="X1084" t="s">
        <v>3947</v>
      </c>
      <c r="Y1084" t="s">
        <v>36</v>
      </c>
      <c r="Z1084" t="str">
        <f>"86409"</f>
        <v>86409</v>
      </c>
      <c r="AA1084" t="str">
        <f>""</f>
        <v/>
      </c>
      <c r="AB1084" t="s">
        <v>56</v>
      </c>
    </row>
    <row r="1085" spans="1:28" x14ac:dyDescent="0.25">
      <c r="A1085">
        <v>4387</v>
      </c>
      <c r="B1085" t="str">
        <f t="shared" ref="B1085:B1090" si="173">"090201000"</f>
        <v>090201000</v>
      </c>
      <c r="C1085" t="s">
        <v>3952</v>
      </c>
      <c r="D1085">
        <v>0</v>
      </c>
      <c r="E1085" t="str">
        <f>""</f>
        <v/>
      </c>
      <c r="G1085" t="s">
        <v>29</v>
      </c>
      <c r="H1085" t="s">
        <v>3679</v>
      </c>
      <c r="I1085" t="s">
        <v>3953</v>
      </c>
      <c r="J1085" t="s">
        <v>32</v>
      </c>
      <c r="K1085" t="str">
        <f>"9282888301"</f>
        <v>9282888301</v>
      </c>
      <c r="L1085" t="str">
        <f>""</f>
        <v/>
      </c>
      <c r="M1085" t="str">
        <f>""</f>
        <v/>
      </c>
      <c r="N1085" t="str">
        <f>""</f>
        <v/>
      </c>
      <c r="O1085" t="s">
        <v>3954</v>
      </c>
      <c r="P1085" t="s">
        <v>3955</v>
      </c>
      <c r="R1085" t="s">
        <v>3956</v>
      </c>
      <c r="S1085" t="s">
        <v>36</v>
      </c>
      <c r="T1085" t="str">
        <f t="shared" ref="T1085:T1090" si="174">"86047"</f>
        <v>86047</v>
      </c>
      <c r="U1085" t="str">
        <f>""</f>
        <v/>
      </c>
      <c r="V1085" t="s">
        <v>3957</v>
      </c>
      <c r="X1085" t="s">
        <v>3956</v>
      </c>
      <c r="Y1085" t="s">
        <v>36</v>
      </c>
      <c r="Z1085" t="str">
        <f t="shared" ref="Z1085:Z1090" si="175">"86047"</f>
        <v>86047</v>
      </c>
      <c r="AA1085" t="str">
        <f>""</f>
        <v/>
      </c>
      <c r="AB1085" t="s">
        <v>516</v>
      </c>
    </row>
    <row r="1086" spans="1:28" x14ac:dyDescent="0.25">
      <c r="A1086">
        <v>4387</v>
      </c>
      <c r="B1086" t="str">
        <f t="shared" si="173"/>
        <v>090201000</v>
      </c>
      <c r="C1086" t="s">
        <v>3952</v>
      </c>
      <c r="D1086">
        <v>5600</v>
      </c>
      <c r="E1086" t="str">
        <f>"090201102"</f>
        <v>090201102</v>
      </c>
      <c r="F1086" t="s">
        <v>3958</v>
      </c>
      <c r="G1086" t="s">
        <v>42</v>
      </c>
      <c r="H1086" t="s">
        <v>3679</v>
      </c>
      <c r="I1086" t="s">
        <v>3953</v>
      </c>
      <c r="J1086" t="s">
        <v>3959</v>
      </c>
      <c r="K1086" t="str">
        <f>"9282888352"</f>
        <v>9282888352</v>
      </c>
      <c r="L1086" t="str">
        <f>""</f>
        <v/>
      </c>
      <c r="M1086" t="str">
        <f>"9282888292"</f>
        <v>9282888292</v>
      </c>
      <c r="N1086" t="str">
        <f>""</f>
        <v/>
      </c>
      <c r="O1086" t="s">
        <v>3954</v>
      </c>
      <c r="P1086" t="s">
        <v>3960</v>
      </c>
      <c r="R1086" t="s">
        <v>3956</v>
      </c>
      <c r="S1086" t="s">
        <v>36</v>
      </c>
      <c r="T1086" t="str">
        <f t="shared" si="174"/>
        <v>86047</v>
      </c>
      <c r="U1086" t="str">
        <f>""</f>
        <v/>
      </c>
      <c r="V1086" t="s">
        <v>3961</v>
      </c>
      <c r="X1086" t="s">
        <v>3956</v>
      </c>
      <c r="Y1086" t="s">
        <v>36</v>
      </c>
      <c r="Z1086" t="str">
        <f t="shared" si="175"/>
        <v>86047</v>
      </c>
      <c r="AA1086" t="str">
        <f>""</f>
        <v/>
      </c>
      <c r="AB1086" t="s">
        <v>516</v>
      </c>
    </row>
    <row r="1087" spans="1:28" x14ac:dyDescent="0.25">
      <c r="A1087">
        <v>4387</v>
      </c>
      <c r="B1087" t="str">
        <f t="shared" si="173"/>
        <v>090201000</v>
      </c>
      <c r="C1087" t="s">
        <v>3952</v>
      </c>
      <c r="D1087">
        <v>5601</v>
      </c>
      <c r="E1087" t="str">
        <f>"090201103"</f>
        <v>090201103</v>
      </c>
      <c r="F1087" t="s">
        <v>995</v>
      </c>
      <c r="G1087" t="s">
        <v>42</v>
      </c>
      <c r="H1087" t="s">
        <v>3679</v>
      </c>
      <c r="I1087" t="s">
        <v>3953</v>
      </c>
      <c r="J1087" t="s">
        <v>3959</v>
      </c>
      <c r="K1087" t="str">
        <f>"9282888352"</f>
        <v>9282888352</v>
      </c>
      <c r="L1087" t="str">
        <f>""</f>
        <v/>
      </c>
      <c r="M1087" t="str">
        <f>"9282888292"</f>
        <v>9282888292</v>
      </c>
      <c r="N1087" t="str">
        <f>""</f>
        <v/>
      </c>
      <c r="O1087" t="s">
        <v>3954</v>
      </c>
      <c r="P1087" t="s">
        <v>3962</v>
      </c>
      <c r="R1087" t="s">
        <v>3956</v>
      </c>
      <c r="S1087" t="s">
        <v>36</v>
      </c>
      <c r="T1087" t="str">
        <f t="shared" si="174"/>
        <v>86047</v>
      </c>
      <c r="U1087" t="str">
        <f>""</f>
        <v/>
      </c>
      <c r="V1087" t="s">
        <v>3963</v>
      </c>
      <c r="X1087" t="s">
        <v>3956</v>
      </c>
      <c r="Y1087" t="s">
        <v>36</v>
      </c>
      <c r="Z1087" t="str">
        <f t="shared" si="175"/>
        <v>86047</v>
      </c>
      <c r="AA1087" t="str">
        <f>""</f>
        <v/>
      </c>
      <c r="AB1087" t="s">
        <v>516</v>
      </c>
    </row>
    <row r="1088" spans="1:28" x14ac:dyDescent="0.25">
      <c r="A1088">
        <v>4387</v>
      </c>
      <c r="B1088" t="str">
        <f t="shared" si="173"/>
        <v>090201000</v>
      </c>
      <c r="C1088" t="s">
        <v>3952</v>
      </c>
      <c r="D1088">
        <v>5602</v>
      </c>
      <c r="E1088" t="str">
        <f>"090201104"</f>
        <v>090201104</v>
      </c>
      <c r="F1088" t="s">
        <v>3964</v>
      </c>
      <c r="G1088" t="s">
        <v>42</v>
      </c>
      <c r="H1088" t="s">
        <v>3679</v>
      </c>
      <c r="I1088" t="s">
        <v>3953</v>
      </c>
      <c r="J1088" t="s">
        <v>3959</v>
      </c>
      <c r="K1088" t="str">
        <f>"9282888352"</f>
        <v>9282888352</v>
      </c>
      <c r="L1088" t="str">
        <f>""</f>
        <v/>
      </c>
      <c r="M1088" t="str">
        <f>"9282888292"</f>
        <v>9282888292</v>
      </c>
      <c r="N1088" t="str">
        <f>""</f>
        <v/>
      </c>
      <c r="O1088" t="s">
        <v>3954</v>
      </c>
      <c r="P1088" t="s">
        <v>3962</v>
      </c>
      <c r="R1088" t="s">
        <v>3956</v>
      </c>
      <c r="S1088" t="s">
        <v>36</v>
      </c>
      <c r="T1088" t="str">
        <f t="shared" si="174"/>
        <v>86047</v>
      </c>
      <c r="U1088" t="str">
        <f>""</f>
        <v/>
      </c>
      <c r="V1088" t="s">
        <v>3965</v>
      </c>
      <c r="X1088" t="s">
        <v>3956</v>
      </c>
      <c r="Y1088" t="s">
        <v>36</v>
      </c>
      <c r="Z1088" t="str">
        <f t="shared" si="175"/>
        <v>86047</v>
      </c>
      <c r="AA1088" t="str">
        <f>""</f>
        <v/>
      </c>
      <c r="AB1088" t="s">
        <v>516</v>
      </c>
    </row>
    <row r="1089" spans="1:28" x14ac:dyDescent="0.25">
      <c r="A1089">
        <v>4387</v>
      </c>
      <c r="B1089" t="str">
        <f t="shared" si="173"/>
        <v>090201000</v>
      </c>
      <c r="C1089" t="s">
        <v>3952</v>
      </c>
      <c r="D1089">
        <v>5603</v>
      </c>
      <c r="E1089" t="str">
        <f>"090201105"</f>
        <v>090201105</v>
      </c>
      <c r="F1089" t="s">
        <v>3966</v>
      </c>
      <c r="G1089" t="s">
        <v>42</v>
      </c>
      <c r="H1089" t="s">
        <v>3679</v>
      </c>
      <c r="I1089" t="s">
        <v>3953</v>
      </c>
      <c r="J1089" t="s">
        <v>3959</v>
      </c>
      <c r="K1089" t="str">
        <f>"9282888352"</f>
        <v>9282888352</v>
      </c>
      <c r="L1089" t="str">
        <f>""</f>
        <v/>
      </c>
      <c r="M1089" t="str">
        <f>"9282888292"</f>
        <v>9282888292</v>
      </c>
      <c r="N1089" t="str">
        <f>""</f>
        <v/>
      </c>
      <c r="O1089" t="s">
        <v>3954</v>
      </c>
      <c r="P1089" t="s">
        <v>3962</v>
      </c>
      <c r="R1089" t="s">
        <v>3956</v>
      </c>
      <c r="S1089" t="s">
        <v>36</v>
      </c>
      <c r="T1089" t="str">
        <f t="shared" si="174"/>
        <v>86047</v>
      </c>
      <c r="U1089" t="str">
        <f>""</f>
        <v/>
      </c>
      <c r="V1089" t="s">
        <v>3967</v>
      </c>
      <c r="X1089" t="s">
        <v>3956</v>
      </c>
      <c r="Y1089" t="s">
        <v>36</v>
      </c>
      <c r="Z1089" t="str">
        <f t="shared" si="175"/>
        <v>86047</v>
      </c>
      <c r="AA1089" t="str">
        <f>""</f>
        <v/>
      </c>
      <c r="AB1089" t="s">
        <v>516</v>
      </c>
    </row>
    <row r="1090" spans="1:28" x14ac:dyDescent="0.25">
      <c r="A1090">
        <v>4387</v>
      </c>
      <c r="B1090" t="str">
        <f t="shared" si="173"/>
        <v>090201000</v>
      </c>
      <c r="C1090" t="s">
        <v>3952</v>
      </c>
      <c r="D1090">
        <v>5604</v>
      </c>
      <c r="E1090" t="str">
        <f>"090201206"</f>
        <v>090201206</v>
      </c>
      <c r="F1090" t="s">
        <v>3968</v>
      </c>
      <c r="G1090" t="s">
        <v>42</v>
      </c>
      <c r="H1090" t="s">
        <v>3679</v>
      </c>
      <c r="I1090" t="s">
        <v>3953</v>
      </c>
      <c r="J1090" t="s">
        <v>3959</v>
      </c>
      <c r="K1090" t="str">
        <f>"9282888352"</f>
        <v>9282888352</v>
      </c>
      <c r="L1090" t="str">
        <f>""</f>
        <v/>
      </c>
      <c r="M1090" t="str">
        <f>"9282888292"</f>
        <v>9282888292</v>
      </c>
      <c r="N1090" t="str">
        <f>""</f>
        <v/>
      </c>
      <c r="O1090" t="s">
        <v>3954</v>
      </c>
      <c r="P1090" t="s">
        <v>3962</v>
      </c>
      <c r="R1090" t="s">
        <v>3956</v>
      </c>
      <c r="S1090" t="s">
        <v>36</v>
      </c>
      <c r="T1090" t="str">
        <f t="shared" si="174"/>
        <v>86047</v>
      </c>
      <c r="U1090" t="str">
        <f>""</f>
        <v/>
      </c>
      <c r="V1090" t="s">
        <v>3969</v>
      </c>
      <c r="X1090" t="s">
        <v>3956</v>
      </c>
      <c r="Y1090" t="s">
        <v>36</v>
      </c>
      <c r="Z1090" t="str">
        <f t="shared" si="175"/>
        <v>86047</v>
      </c>
      <c r="AA1090" t="str">
        <f>""</f>
        <v/>
      </c>
      <c r="AB1090" t="s">
        <v>516</v>
      </c>
    </row>
    <row r="1091" spans="1:28" x14ac:dyDescent="0.25">
      <c r="A1091">
        <v>4388</v>
      </c>
      <c r="B1091" t="str">
        <f>"090202000"</f>
        <v>090202000</v>
      </c>
      <c r="C1091" t="s">
        <v>3970</v>
      </c>
      <c r="D1091">
        <v>0</v>
      </c>
      <c r="E1091" t="str">
        <f>""</f>
        <v/>
      </c>
      <c r="G1091" t="s">
        <v>29</v>
      </c>
      <c r="H1091" t="s">
        <v>3971</v>
      </c>
      <c r="I1091" t="s">
        <v>3972</v>
      </c>
      <c r="J1091" t="s">
        <v>3973</v>
      </c>
      <c r="K1091" t="str">
        <f>"9282883307"</f>
        <v>9282883307</v>
      </c>
      <c r="L1091" t="str">
        <f>""</f>
        <v/>
      </c>
      <c r="M1091" t="str">
        <f>"9282883309"</f>
        <v>9282883309</v>
      </c>
      <c r="N1091" t="str">
        <f>""</f>
        <v/>
      </c>
      <c r="O1091" t="s">
        <v>3974</v>
      </c>
      <c r="P1091" t="s">
        <v>3975</v>
      </c>
      <c r="R1091" t="s">
        <v>3976</v>
      </c>
      <c r="S1091" t="s">
        <v>36</v>
      </c>
      <c r="T1091" t="str">
        <f>"86032"</f>
        <v>86032</v>
      </c>
      <c r="U1091" t="str">
        <f>""</f>
        <v/>
      </c>
      <c r="V1091" t="s">
        <v>3977</v>
      </c>
      <c r="X1091" t="s">
        <v>3976</v>
      </c>
      <c r="Y1091" t="s">
        <v>36</v>
      </c>
      <c r="Z1091" t="str">
        <f>"86032"</f>
        <v>86032</v>
      </c>
      <c r="AA1091" t="str">
        <f>""</f>
        <v/>
      </c>
      <c r="AB1091" t="s">
        <v>265</v>
      </c>
    </row>
    <row r="1092" spans="1:28" x14ac:dyDescent="0.25">
      <c r="A1092">
        <v>4388</v>
      </c>
      <c r="B1092" t="str">
        <f>"090202000"</f>
        <v>090202000</v>
      </c>
      <c r="C1092" t="s">
        <v>3970</v>
      </c>
      <c r="D1092">
        <v>5605</v>
      </c>
      <c r="E1092" t="str">
        <f>"090202001"</f>
        <v>090202001</v>
      </c>
      <c r="F1092" t="s">
        <v>3978</v>
      </c>
      <c r="G1092" t="s">
        <v>42</v>
      </c>
      <c r="H1092" t="s">
        <v>3971</v>
      </c>
      <c r="I1092" t="s">
        <v>3972</v>
      </c>
      <c r="J1092" t="s">
        <v>3973</v>
      </c>
      <c r="K1092" t="str">
        <f>"9282883307"</f>
        <v>9282883307</v>
      </c>
      <c r="L1092" t="str">
        <f>"345"</f>
        <v>345</v>
      </c>
      <c r="M1092" t="str">
        <f>"9282883309"</f>
        <v>9282883309</v>
      </c>
      <c r="N1092" t="str">
        <f>""</f>
        <v/>
      </c>
      <c r="O1092" t="s">
        <v>3974</v>
      </c>
      <c r="P1092" t="s">
        <v>451</v>
      </c>
      <c r="R1092" t="s">
        <v>3976</v>
      </c>
      <c r="S1092" t="s">
        <v>36</v>
      </c>
      <c r="T1092" t="str">
        <f>"86032"</f>
        <v>86032</v>
      </c>
      <c r="U1092" t="str">
        <f>""</f>
        <v/>
      </c>
      <c r="V1092" t="s">
        <v>3977</v>
      </c>
      <c r="X1092" t="s">
        <v>3976</v>
      </c>
      <c r="Y1092" t="s">
        <v>36</v>
      </c>
      <c r="Z1092" t="str">
        <f>"86032"</f>
        <v>86032</v>
      </c>
      <c r="AA1092" t="str">
        <f>""</f>
        <v/>
      </c>
      <c r="AB1092" t="s">
        <v>265</v>
      </c>
    </row>
    <row r="1093" spans="1:28" x14ac:dyDescent="0.25">
      <c r="A1093">
        <v>4388</v>
      </c>
      <c r="B1093" t="str">
        <f>"090202000"</f>
        <v>090202000</v>
      </c>
      <c r="C1093" t="s">
        <v>3970</v>
      </c>
      <c r="D1093">
        <v>5606</v>
      </c>
      <c r="E1093" t="str">
        <f>"090202002"</f>
        <v>090202002</v>
      </c>
      <c r="F1093" t="s">
        <v>3979</v>
      </c>
      <c r="G1093" t="s">
        <v>42</v>
      </c>
      <c r="H1093" t="s">
        <v>3971</v>
      </c>
      <c r="I1093" t="s">
        <v>3972</v>
      </c>
      <c r="J1093" t="s">
        <v>3973</v>
      </c>
      <c r="K1093" t="str">
        <f>"9282883307"</f>
        <v>9282883307</v>
      </c>
      <c r="L1093" t="str">
        <f>"429"</f>
        <v>429</v>
      </c>
      <c r="M1093" t="str">
        <f>"9282883309"</f>
        <v>9282883309</v>
      </c>
      <c r="N1093" t="str">
        <f>""</f>
        <v/>
      </c>
      <c r="O1093" t="s">
        <v>3974</v>
      </c>
      <c r="P1093" t="s">
        <v>451</v>
      </c>
      <c r="R1093" t="s">
        <v>3976</v>
      </c>
      <c r="S1093" t="s">
        <v>36</v>
      </c>
      <c r="T1093" t="str">
        <f>"86032"</f>
        <v>86032</v>
      </c>
      <c r="U1093" t="str">
        <f>""</f>
        <v/>
      </c>
      <c r="V1093" t="s">
        <v>3980</v>
      </c>
      <c r="X1093" t="s">
        <v>3976</v>
      </c>
      <c r="Y1093" t="s">
        <v>36</v>
      </c>
      <c r="Z1093" t="str">
        <f>"86032"</f>
        <v>86032</v>
      </c>
      <c r="AA1093" t="str">
        <f>""</f>
        <v/>
      </c>
      <c r="AB1093" t="s">
        <v>265</v>
      </c>
    </row>
    <row r="1094" spans="1:28" x14ac:dyDescent="0.25">
      <c r="A1094">
        <v>4389</v>
      </c>
      <c r="B1094" t="str">
        <f t="shared" ref="B1094:B1100" si="176">"090203000"</f>
        <v>090203000</v>
      </c>
      <c r="C1094" t="s">
        <v>3981</v>
      </c>
      <c r="D1094">
        <v>0</v>
      </c>
      <c r="E1094" t="str">
        <f>""</f>
        <v/>
      </c>
      <c r="G1094" t="s">
        <v>29</v>
      </c>
      <c r="H1094" t="s">
        <v>3982</v>
      </c>
      <c r="I1094" t="s">
        <v>3983</v>
      </c>
      <c r="J1094" t="s">
        <v>3959</v>
      </c>
      <c r="K1094" t="str">
        <f>"9285246144"</f>
        <v>9285246144</v>
      </c>
      <c r="L1094" t="str">
        <f>"7013"</f>
        <v>7013</v>
      </c>
      <c r="M1094" t="str">
        <f>""</f>
        <v/>
      </c>
      <c r="N1094" t="str">
        <f>""</f>
        <v/>
      </c>
      <c r="O1094" t="s">
        <v>3984</v>
      </c>
      <c r="P1094" t="s">
        <v>3985</v>
      </c>
      <c r="R1094" t="s">
        <v>3986</v>
      </c>
      <c r="S1094" t="s">
        <v>36</v>
      </c>
      <c r="T1094" t="str">
        <f t="shared" ref="T1094:T1100" si="177">"86025"</f>
        <v>86025</v>
      </c>
      <c r="U1094" t="str">
        <f>""</f>
        <v/>
      </c>
      <c r="V1094" t="s">
        <v>3987</v>
      </c>
      <c r="X1094" t="s">
        <v>3986</v>
      </c>
      <c r="Y1094" t="s">
        <v>36</v>
      </c>
      <c r="Z1094" t="str">
        <f t="shared" ref="Z1094:Z1099" si="178">"86025"</f>
        <v>86025</v>
      </c>
      <c r="AA1094" t="str">
        <f>""</f>
        <v/>
      </c>
      <c r="AB1094" t="s">
        <v>156</v>
      </c>
    </row>
    <row r="1095" spans="1:28" x14ac:dyDescent="0.25">
      <c r="A1095">
        <v>4389</v>
      </c>
      <c r="B1095" t="str">
        <f t="shared" si="176"/>
        <v>090203000</v>
      </c>
      <c r="C1095" t="s">
        <v>3981</v>
      </c>
      <c r="D1095">
        <v>5607</v>
      </c>
      <c r="E1095" t="str">
        <f>"090203102"</f>
        <v>090203102</v>
      </c>
      <c r="F1095" t="s">
        <v>3988</v>
      </c>
      <c r="G1095" t="s">
        <v>42</v>
      </c>
      <c r="H1095" t="s">
        <v>3989</v>
      </c>
      <c r="I1095" t="s">
        <v>110</v>
      </c>
      <c r="J1095" t="s">
        <v>3990</v>
      </c>
      <c r="K1095" t="str">
        <f>"9285246144"</f>
        <v>9285246144</v>
      </c>
      <c r="L1095" t="str">
        <f>"2008"</f>
        <v>2008</v>
      </c>
      <c r="M1095" t="str">
        <f>"9285242940"</f>
        <v>9285242940</v>
      </c>
      <c r="N1095" t="str">
        <f>""</f>
        <v/>
      </c>
      <c r="O1095" t="s">
        <v>3991</v>
      </c>
      <c r="P1095" t="s">
        <v>3985</v>
      </c>
      <c r="R1095" t="s">
        <v>3986</v>
      </c>
      <c r="S1095" t="s">
        <v>36</v>
      </c>
      <c r="T1095" t="str">
        <f t="shared" si="177"/>
        <v>86025</v>
      </c>
      <c r="U1095" t="str">
        <f>""</f>
        <v/>
      </c>
      <c r="V1095" t="s">
        <v>3992</v>
      </c>
      <c r="X1095" t="s">
        <v>3986</v>
      </c>
      <c r="Y1095" t="s">
        <v>36</v>
      </c>
      <c r="Z1095" t="str">
        <f t="shared" si="178"/>
        <v>86025</v>
      </c>
      <c r="AA1095" t="str">
        <f>""</f>
        <v/>
      </c>
      <c r="AB1095" t="s">
        <v>156</v>
      </c>
    </row>
    <row r="1096" spans="1:28" x14ac:dyDescent="0.25">
      <c r="A1096">
        <v>4389</v>
      </c>
      <c r="B1096" t="str">
        <f t="shared" si="176"/>
        <v>090203000</v>
      </c>
      <c r="C1096" t="s">
        <v>3981</v>
      </c>
      <c r="D1096">
        <v>5608</v>
      </c>
      <c r="E1096" t="str">
        <f>"090203103"</f>
        <v>090203103</v>
      </c>
      <c r="F1096" t="s">
        <v>3993</v>
      </c>
      <c r="G1096" t="s">
        <v>42</v>
      </c>
      <c r="H1096" t="s">
        <v>3994</v>
      </c>
      <c r="I1096" t="s">
        <v>3995</v>
      </c>
      <c r="J1096" t="s">
        <v>3990</v>
      </c>
      <c r="K1096" t="str">
        <f>"9285246144"</f>
        <v>9285246144</v>
      </c>
      <c r="L1096" t="str">
        <f>"3006"</f>
        <v>3006</v>
      </c>
      <c r="M1096" t="str">
        <f>"9285246998"</f>
        <v>9285246998</v>
      </c>
      <c r="N1096" t="str">
        <f>""</f>
        <v/>
      </c>
      <c r="O1096" t="s">
        <v>3996</v>
      </c>
      <c r="P1096" t="s">
        <v>3985</v>
      </c>
      <c r="R1096" t="s">
        <v>3986</v>
      </c>
      <c r="S1096" t="s">
        <v>36</v>
      </c>
      <c r="T1096" t="str">
        <f t="shared" si="177"/>
        <v>86025</v>
      </c>
      <c r="U1096" t="str">
        <f>""</f>
        <v/>
      </c>
      <c r="V1096" t="s">
        <v>3997</v>
      </c>
      <c r="X1096" t="s">
        <v>3986</v>
      </c>
      <c r="Y1096" t="s">
        <v>36</v>
      </c>
      <c r="Z1096" t="str">
        <f t="shared" si="178"/>
        <v>86025</v>
      </c>
      <c r="AA1096" t="str">
        <f>""</f>
        <v/>
      </c>
      <c r="AB1096" t="s">
        <v>156</v>
      </c>
    </row>
    <row r="1097" spans="1:28" x14ac:dyDescent="0.25">
      <c r="A1097">
        <v>4389</v>
      </c>
      <c r="B1097" t="str">
        <f t="shared" si="176"/>
        <v>090203000</v>
      </c>
      <c r="C1097" t="s">
        <v>3981</v>
      </c>
      <c r="D1097">
        <v>5609</v>
      </c>
      <c r="E1097" t="str">
        <f>"090203106"</f>
        <v>090203106</v>
      </c>
      <c r="F1097" t="s">
        <v>3998</v>
      </c>
      <c r="G1097" t="s">
        <v>42</v>
      </c>
      <c r="H1097" t="s">
        <v>398</v>
      </c>
      <c r="I1097" t="s">
        <v>3999</v>
      </c>
      <c r="J1097" t="s">
        <v>3990</v>
      </c>
      <c r="K1097" t="str">
        <f>"9285246144"</f>
        <v>9285246144</v>
      </c>
      <c r="L1097" t="str">
        <f>"6056"</f>
        <v>6056</v>
      </c>
      <c r="M1097" t="str">
        <f>"9285243073"</f>
        <v>9285243073</v>
      </c>
      <c r="N1097" t="str">
        <f>""</f>
        <v/>
      </c>
      <c r="O1097" t="s">
        <v>4000</v>
      </c>
      <c r="P1097" t="s">
        <v>3985</v>
      </c>
      <c r="R1097" t="s">
        <v>3986</v>
      </c>
      <c r="S1097" t="s">
        <v>36</v>
      </c>
      <c r="T1097" t="str">
        <f t="shared" si="177"/>
        <v>86025</v>
      </c>
      <c r="U1097" t="str">
        <f>""</f>
        <v/>
      </c>
      <c r="V1097" t="s">
        <v>4001</v>
      </c>
      <c r="X1097" t="s">
        <v>3986</v>
      </c>
      <c r="Y1097" t="s">
        <v>36</v>
      </c>
      <c r="Z1097" t="str">
        <f t="shared" si="178"/>
        <v>86025</v>
      </c>
      <c r="AA1097" t="str">
        <f>""</f>
        <v/>
      </c>
      <c r="AB1097" t="s">
        <v>156</v>
      </c>
    </row>
    <row r="1098" spans="1:28" x14ac:dyDescent="0.25">
      <c r="A1098">
        <v>4389</v>
      </c>
      <c r="B1098" t="str">
        <f t="shared" si="176"/>
        <v>090203000</v>
      </c>
      <c r="C1098" t="s">
        <v>3981</v>
      </c>
      <c r="D1098">
        <v>5610</v>
      </c>
      <c r="E1098" t="str">
        <f>"090203207"</f>
        <v>090203207</v>
      </c>
      <c r="F1098" t="s">
        <v>4002</v>
      </c>
      <c r="G1098" t="s">
        <v>42</v>
      </c>
      <c r="H1098" t="s">
        <v>220</v>
      </c>
      <c r="I1098" t="s">
        <v>4003</v>
      </c>
      <c r="J1098" t="s">
        <v>3990</v>
      </c>
      <c r="K1098" t="str">
        <f>"9285246144"</f>
        <v>9285246144</v>
      </c>
      <c r="L1098" t="str">
        <f>"7012"</f>
        <v>7012</v>
      </c>
      <c r="M1098" t="str">
        <f>""</f>
        <v/>
      </c>
      <c r="N1098" t="str">
        <f>""</f>
        <v/>
      </c>
      <c r="O1098" t="s">
        <v>4004</v>
      </c>
      <c r="P1098" t="s">
        <v>3985</v>
      </c>
      <c r="R1098" t="s">
        <v>3986</v>
      </c>
      <c r="S1098" t="s">
        <v>36</v>
      </c>
      <c r="T1098" t="str">
        <f t="shared" si="177"/>
        <v>86025</v>
      </c>
      <c r="U1098" t="str">
        <f>""</f>
        <v/>
      </c>
      <c r="V1098" t="s">
        <v>4005</v>
      </c>
      <c r="X1098" t="s">
        <v>3986</v>
      </c>
      <c r="Y1098" t="s">
        <v>36</v>
      </c>
      <c r="Z1098" t="str">
        <f t="shared" si="178"/>
        <v>86025</v>
      </c>
      <c r="AA1098" t="str">
        <f>""</f>
        <v/>
      </c>
      <c r="AB1098" t="s">
        <v>156</v>
      </c>
    </row>
    <row r="1099" spans="1:28" x14ac:dyDescent="0.25">
      <c r="A1099">
        <v>4389</v>
      </c>
      <c r="B1099" t="str">
        <f t="shared" si="176"/>
        <v>090203000</v>
      </c>
      <c r="C1099" t="s">
        <v>3981</v>
      </c>
      <c r="D1099">
        <v>7654</v>
      </c>
      <c r="E1099" t="str">
        <f>"090199001"</f>
        <v>090199001</v>
      </c>
      <c r="F1099" t="s">
        <v>4006</v>
      </c>
      <c r="G1099" t="s">
        <v>42</v>
      </c>
      <c r="H1099" t="s">
        <v>1380</v>
      </c>
      <c r="I1099" t="s">
        <v>4007</v>
      </c>
      <c r="J1099" t="s">
        <v>134</v>
      </c>
      <c r="K1099" t="str">
        <f>"9285241821"</f>
        <v>9285241821</v>
      </c>
      <c r="L1099" t="str">
        <f>"23"</f>
        <v>23</v>
      </c>
      <c r="M1099" t="str">
        <f>""</f>
        <v/>
      </c>
      <c r="N1099" t="str">
        <f>""</f>
        <v/>
      </c>
      <c r="O1099" t="s">
        <v>4008</v>
      </c>
      <c r="P1099" t="s">
        <v>4009</v>
      </c>
      <c r="R1099" t="s">
        <v>3986</v>
      </c>
      <c r="S1099" t="s">
        <v>36</v>
      </c>
      <c r="T1099" t="str">
        <f t="shared" si="177"/>
        <v>86025</v>
      </c>
      <c r="U1099" t="str">
        <f>""</f>
        <v/>
      </c>
      <c r="V1099" t="s">
        <v>4009</v>
      </c>
      <c r="X1099" t="s">
        <v>3986</v>
      </c>
      <c r="Y1099" t="s">
        <v>36</v>
      </c>
      <c r="Z1099" t="str">
        <f t="shared" si="178"/>
        <v>86025</v>
      </c>
      <c r="AA1099" t="str">
        <f>""</f>
        <v/>
      </c>
      <c r="AB1099" t="s">
        <v>156</v>
      </c>
    </row>
    <row r="1100" spans="1:28" x14ac:dyDescent="0.25">
      <c r="A1100">
        <v>4389</v>
      </c>
      <c r="B1100" t="str">
        <f t="shared" si="176"/>
        <v>090203000</v>
      </c>
      <c r="C1100" t="s">
        <v>3981</v>
      </c>
      <c r="D1100">
        <v>79377</v>
      </c>
      <c r="E1100" t="str">
        <f>"090203104"</f>
        <v>090203104</v>
      </c>
      <c r="F1100" t="s">
        <v>4010</v>
      </c>
      <c r="G1100" t="s">
        <v>42</v>
      </c>
      <c r="H1100" t="s">
        <v>4011</v>
      </c>
      <c r="I1100" t="s">
        <v>4012</v>
      </c>
      <c r="J1100" t="s">
        <v>520</v>
      </c>
      <c r="K1100" t="str">
        <f>"9286543622"</f>
        <v>9286543622</v>
      </c>
      <c r="L1100" t="str">
        <f>"5003"</f>
        <v>5003</v>
      </c>
      <c r="M1100" t="str">
        <f>"9286543162"</f>
        <v>9286543162</v>
      </c>
      <c r="N1100" t="str">
        <f>""</f>
        <v/>
      </c>
      <c r="O1100" t="s">
        <v>4013</v>
      </c>
      <c r="P1100" t="s">
        <v>3985</v>
      </c>
      <c r="R1100" t="s">
        <v>3986</v>
      </c>
      <c r="S1100" t="s">
        <v>36</v>
      </c>
      <c r="T1100" t="str">
        <f t="shared" si="177"/>
        <v>86025</v>
      </c>
      <c r="U1100" t="str">
        <f>""</f>
        <v/>
      </c>
      <c r="V1100" t="s">
        <v>4014</v>
      </c>
      <c r="X1100" t="s">
        <v>4015</v>
      </c>
      <c r="Y1100" t="s">
        <v>36</v>
      </c>
      <c r="Z1100" t="str">
        <f>"86031"</f>
        <v>86031</v>
      </c>
      <c r="AA1100" t="str">
        <f>""</f>
        <v/>
      </c>
      <c r="AB1100" t="s">
        <v>156</v>
      </c>
    </row>
    <row r="1101" spans="1:28" x14ac:dyDescent="0.25">
      <c r="A1101">
        <v>4390</v>
      </c>
      <c r="B1101" t="str">
        <f>"090204000"</f>
        <v>090204000</v>
      </c>
      <c r="C1101" t="s">
        <v>4016</v>
      </c>
      <c r="D1101">
        <v>0</v>
      </c>
      <c r="E1101" t="str">
        <f>""</f>
        <v/>
      </c>
      <c r="G1101" t="s">
        <v>29</v>
      </c>
      <c r="H1101" t="s">
        <v>4017</v>
      </c>
      <c r="I1101" t="s">
        <v>4018</v>
      </c>
      <c r="J1101" t="s">
        <v>2665</v>
      </c>
      <c r="K1101" t="str">
        <f>"9287252109"</f>
        <v>9287252109</v>
      </c>
      <c r="L1101" t="str">
        <f>""</f>
        <v/>
      </c>
      <c r="M1101" t="str">
        <f>"9287252123"</f>
        <v>9287252123</v>
      </c>
      <c r="N1101" t="str">
        <f>""</f>
        <v/>
      </c>
      <c r="O1101" t="s">
        <v>4019</v>
      </c>
      <c r="P1101" t="s">
        <v>4020</v>
      </c>
      <c r="R1101" t="s">
        <v>4021</v>
      </c>
      <c r="S1101" t="s">
        <v>36</v>
      </c>
      <c r="T1101" t="str">
        <f>"86510"</f>
        <v>86510</v>
      </c>
      <c r="U1101" t="str">
        <f>"0839"</f>
        <v>0839</v>
      </c>
      <c r="V1101" t="s">
        <v>4022</v>
      </c>
      <c r="X1101" t="s">
        <v>4021</v>
      </c>
      <c r="Y1101" t="s">
        <v>36</v>
      </c>
      <c r="Z1101" t="str">
        <f>"86510"</f>
        <v>86510</v>
      </c>
      <c r="AA1101" t="str">
        <f>""</f>
        <v/>
      </c>
      <c r="AB1101" t="s">
        <v>465</v>
      </c>
    </row>
    <row r="1102" spans="1:28" x14ac:dyDescent="0.25">
      <c r="A1102">
        <v>4390</v>
      </c>
      <c r="B1102" t="str">
        <f>"090204000"</f>
        <v>090204000</v>
      </c>
      <c r="C1102" t="s">
        <v>4016</v>
      </c>
      <c r="D1102">
        <v>5611</v>
      </c>
      <c r="E1102" t="str">
        <f>"090204101"</f>
        <v>090204101</v>
      </c>
      <c r="F1102" t="s">
        <v>4023</v>
      </c>
      <c r="G1102" t="s">
        <v>42</v>
      </c>
      <c r="H1102" t="s">
        <v>4024</v>
      </c>
      <c r="I1102" t="s">
        <v>4025</v>
      </c>
      <c r="J1102" t="s">
        <v>4026</v>
      </c>
      <c r="K1102" t="str">
        <f>"9287252220"</f>
        <v>9287252220</v>
      </c>
      <c r="L1102" t="str">
        <f>""</f>
        <v/>
      </c>
      <c r="M1102" t="str">
        <f>"9287252216"</f>
        <v>9287252216</v>
      </c>
      <c r="N1102" t="str">
        <f>""</f>
        <v/>
      </c>
      <c r="O1102" t="s">
        <v>4027</v>
      </c>
      <c r="P1102" t="s">
        <v>4028</v>
      </c>
      <c r="R1102" t="s">
        <v>4021</v>
      </c>
      <c r="S1102" t="s">
        <v>36</v>
      </c>
      <c r="T1102" t="str">
        <f>"86510"</f>
        <v>86510</v>
      </c>
      <c r="U1102" t="str">
        <f>"0839"</f>
        <v>0839</v>
      </c>
      <c r="V1102" t="s">
        <v>4029</v>
      </c>
      <c r="X1102" t="s">
        <v>4021</v>
      </c>
      <c r="Y1102" t="s">
        <v>36</v>
      </c>
      <c r="Z1102" t="str">
        <f>"86510"</f>
        <v>86510</v>
      </c>
      <c r="AA1102" t="str">
        <f>""</f>
        <v/>
      </c>
      <c r="AB1102" t="s">
        <v>465</v>
      </c>
    </row>
    <row r="1103" spans="1:28" x14ac:dyDescent="0.25">
      <c r="A1103">
        <v>4390</v>
      </c>
      <c r="B1103" t="str">
        <f>"090204000"</f>
        <v>090204000</v>
      </c>
      <c r="C1103" t="s">
        <v>4016</v>
      </c>
      <c r="D1103">
        <v>5612</v>
      </c>
      <c r="E1103" t="str">
        <f>"090204102"</f>
        <v>090204102</v>
      </c>
      <c r="F1103" t="s">
        <v>4030</v>
      </c>
      <c r="G1103" t="s">
        <v>42</v>
      </c>
      <c r="H1103" t="s">
        <v>4031</v>
      </c>
      <c r="I1103" t="s">
        <v>4032</v>
      </c>
      <c r="J1103" t="s">
        <v>4026</v>
      </c>
      <c r="K1103" t="str">
        <f>"9287252320"</f>
        <v>9287252320</v>
      </c>
      <c r="L1103" t="str">
        <f>""</f>
        <v/>
      </c>
      <c r="M1103" t="str">
        <f>"9287252370"</f>
        <v>9287252370</v>
      </c>
      <c r="N1103" t="str">
        <f>""</f>
        <v/>
      </c>
      <c r="O1103" t="s">
        <v>4033</v>
      </c>
      <c r="P1103" t="s">
        <v>4034</v>
      </c>
      <c r="R1103" t="s">
        <v>4021</v>
      </c>
      <c r="S1103" t="s">
        <v>36</v>
      </c>
      <c r="T1103" t="str">
        <f>"86510"</f>
        <v>86510</v>
      </c>
      <c r="U1103" t="str">
        <f>"0839"</f>
        <v>0839</v>
      </c>
      <c r="V1103" t="s">
        <v>4035</v>
      </c>
      <c r="X1103" t="s">
        <v>4021</v>
      </c>
      <c r="Y1103" t="s">
        <v>36</v>
      </c>
      <c r="Z1103" t="str">
        <f>"86510"</f>
        <v>86510</v>
      </c>
      <c r="AA1103" t="str">
        <f>""</f>
        <v/>
      </c>
      <c r="AB1103" t="s">
        <v>465</v>
      </c>
    </row>
    <row r="1104" spans="1:28" x14ac:dyDescent="0.25">
      <c r="A1104">
        <v>4390</v>
      </c>
      <c r="B1104" t="str">
        <f>"090204000"</f>
        <v>090204000</v>
      </c>
      <c r="C1104" t="s">
        <v>4016</v>
      </c>
      <c r="D1104">
        <v>5613</v>
      </c>
      <c r="E1104" t="str">
        <f>"090204203"</f>
        <v>090204203</v>
      </c>
      <c r="F1104" t="s">
        <v>4036</v>
      </c>
      <c r="G1104" t="s">
        <v>42</v>
      </c>
      <c r="H1104" t="s">
        <v>320</v>
      </c>
      <c r="I1104" t="s">
        <v>3102</v>
      </c>
      <c r="J1104" t="s">
        <v>4026</v>
      </c>
      <c r="K1104" t="str">
        <f>"9287252420"</f>
        <v>9287252420</v>
      </c>
      <c r="L1104" t="str">
        <f>""</f>
        <v/>
      </c>
      <c r="M1104" t="str">
        <f>"9287252470"</f>
        <v>9287252470</v>
      </c>
      <c r="N1104" t="str">
        <f>""</f>
        <v/>
      </c>
      <c r="O1104" t="s">
        <v>4037</v>
      </c>
      <c r="P1104" t="s">
        <v>4020</v>
      </c>
      <c r="R1104" t="s">
        <v>4021</v>
      </c>
      <c r="S1104" t="s">
        <v>36</v>
      </c>
      <c r="T1104" t="str">
        <f>"86510"</f>
        <v>86510</v>
      </c>
      <c r="U1104" t="str">
        <f>"0839"</f>
        <v>0839</v>
      </c>
      <c r="V1104" t="s">
        <v>4038</v>
      </c>
      <c r="X1104" t="s">
        <v>4021</v>
      </c>
      <c r="Y1104" t="s">
        <v>36</v>
      </c>
      <c r="Z1104" t="str">
        <f>"86510"</f>
        <v>86510</v>
      </c>
      <c r="AA1104" t="str">
        <f>""</f>
        <v/>
      </c>
      <c r="AB1104" t="s">
        <v>465</v>
      </c>
    </row>
    <row r="1105" spans="1:28" x14ac:dyDescent="0.25">
      <c r="A1105">
        <v>4391</v>
      </c>
      <c r="B1105" t="str">
        <f t="shared" ref="B1105:B1111" si="179">"090205000"</f>
        <v>090205000</v>
      </c>
      <c r="C1105" t="s">
        <v>4039</v>
      </c>
      <c r="D1105">
        <v>0</v>
      </c>
      <c r="E1105" t="str">
        <f>""</f>
        <v/>
      </c>
      <c r="G1105" t="s">
        <v>29</v>
      </c>
      <c r="H1105" t="s">
        <v>4040</v>
      </c>
      <c r="I1105" t="s">
        <v>4041</v>
      </c>
      <c r="J1105" t="s">
        <v>134</v>
      </c>
      <c r="K1105" t="str">
        <f t="shared" ref="K1105:K1111" si="180">"9285364156"</f>
        <v>9285364156</v>
      </c>
      <c r="L1105" t="str">
        <f>"7716"</f>
        <v>7716</v>
      </c>
      <c r="M1105" t="str">
        <f>"9285362634"</f>
        <v>9285362634</v>
      </c>
      <c r="N1105" t="str">
        <f>""</f>
        <v/>
      </c>
      <c r="O1105" t="s">
        <v>4042</v>
      </c>
      <c r="P1105" t="s">
        <v>4043</v>
      </c>
      <c r="Q1105" t="s">
        <v>4044</v>
      </c>
      <c r="R1105" t="s">
        <v>4045</v>
      </c>
      <c r="S1105" t="s">
        <v>36</v>
      </c>
      <c r="T1105" t="str">
        <f>"85937"</f>
        <v>85937</v>
      </c>
      <c r="U1105" t="str">
        <f>""</f>
        <v/>
      </c>
      <c r="V1105" t="s">
        <v>4044</v>
      </c>
      <c r="X1105" t="s">
        <v>4045</v>
      </c>
      <c r="Y1105" t="s">
        <v>36</v>
      </c>
      <c r="Z1105" t="str">
        <f>"85937"</f>
        <v>85937</v>
      </c>
      <c r="AA1105" t="str">
        <f>""</f>
        <v/>
      </c>
      <c r="AB1105" t="s">
        <v>86</v>
      </c>
    </row>
    <row r="1106" spans="1:28" x14ac:dyDescent="0.25">
      <c r="A1106">
        <v>4391</v>
      </c>
      <c r="B1106" t="str">
        <f t="shared" si="179"/>
        <v>090205000</v>
      </c>
      <c r="C1106" t="s">
        <v>4039</v>
      </c>
      <c r="D1106">
        <v>5614</v>
      </c>
      <c r="E1106" t="str">
        <f>"090205001"</f>
        <v>090205001</v>
      </c>
      <c r="F1106" t="s">
        <v>4046</v>
      </c>
      <c r="G1106" t="s">
        <v>42</v>
      </c>
      <c r="H1106" t="s">
        <v>4047</v>
      </c>
      <c r="I1106" t="s">
        <v>4048</v>
      </c>
      <c r="J1106" t="s">
        <v>4049</v>
      </c>
      <c r="K1106" t="str">
        <f t="shared" si="180"/>
        <v>9285364156</v>
      </c>
      <c r="L1106" t="str">
        <f t="shared" ref="L1106:L1111" si="181">"7714"</f>
        <v>7714</v>
      </c>
      <c r="M1106" t="str">
        <f>"9285362634"</f>
        <v>9285362634</v>
      </c>
      <c r="N1106" t="str">
        <f>""</f>
        <v/>
      </c>
      <c r="O1106" t="s">
        <v>4050</v>
      </c>
      <c r="P1106" t="s">
        <v>4051</v>
      </c>
      <c r="Q1106" t="s">
        <v>4044</v>
      </c>
      <c r="R1106" t="s">
        <v>4045</v>
      </c>
      <c r="S1106" t="s">
        <v>36</v>
      </c>
      <c r="T1106" t="str">
        <f>"85937"</f>
        <v>85937</v>
      </c>
      <c r="U1106" t="str">
        <f>""</f>
        <v/>
      </c>
      <c r="V1106" t="s">
        <v>4052</v>
      </c>
      <c r="X1106" t="s">
        <v>4045</v>
      </c>
      <c r="Y1106" t="s">
        <v>36</v>
      </c>
      <c r="Z1106" t="str">
        <f>"85937"</f>
        <v>85937</v>
      </c>
      <c r="AA1106" t="str">
        <f>""</f>
        <v/>
      </c>
      <c r="AB1106" t="s">
        <v>86</v>
      </c>
    </row>
    <row r="1107" spans="1:28" x14ac:dyDescent="0.25">
      <c r="A1107">
        <v>4391</v>
      </c>
      <c r="B1107" t="str">
        <f t="shared" si="179"/>
        <v>090205000</v>
      </c>
      <c r="C1107" t="s">
        <v>4039</v>
      </c>
      <c r="D1107">
        <v>5615</v>
      </c>
      <c r="E1107" t="str">
        <f>"090205002"</f>
        <v>090205002</v>
      </c>
      <c r="F1107" t="s">
        <v>4053</v>
      </c>
      <c r="G1107" t="s">
        <v>42</v>
      </c>
      <c r="H1107" t="s">
        <v>4047</v>
      </c>
      <c r="I1107" t="s">
        <v>4048</v>
      </c>
      <c r="J1107" t="s">
        <v>4049</v>
      </c>
      <c r="K1107" t="str">
        <f t="shared" si="180"/>
        <v>9285364156</v>
      </c>
      <c r="L1107" t="str">
        <f t="shared" si="181"/>
        <v>7714</v>
      </c>
      <c r="M1107" t="str">
        <f>"9285362634"</f>
        <v>9285362634</v>
      </c>
      <c r="N1107" t="str">
        <f>""</f>
        <v/>
      </c>
      <c r="O1107" t="s">
        <v>4050</v>
      </c>
      <c r="P1107" t="s">
        <v>4051</v>
      </c>
      <c r="Q1107" t="s">
        <v>4044</v>
      </c>
      <c r="R1107" t="s">
        <v>4045</v>
      </c>
      <c r="S1107" t="s">
        <v>36</v>
      </c>
      <c r="T1107" t="str">
        <f>"85939"</f>
        <v>85939</v>
      </c>
      <c r="U1107" t="str">
        <f>""</f>
        <v/>
      </c>
      <c r="V1107" t="s">
        <v>4054</v>
      </c>
      <c r="X1107" t="s">
        <v>3000</v>
      </c>
      <c r="Y1107" t="s">
        <v>36</v>
      </c>
      <c r="Z1107" t="str">
        <f>"85939"</f>
        <v>85939</v>
      </c>
      <c r="AA1107" t="str">
        <f>""</f>
        <v/>
      </c>
      <c r="AB1107" t="s">
        <v>86</v>
      </c>
    </row>
    <row r="1108" spans="1:28" x14ac:dyDescent="0.25">
      <c r="A1108">
        <v>4391</v>
      </c>
      <c r="B1108" t="str">
        <f t="shared" si="179"/>
        <v>090205000</v>
      </c>
      <c r="C1108" t="s">
        <v>4039</v>
      </c>
      <c r="D1108">
        <v>5616</v>
      </c>
      <c r="E1108" t="str">
        <f>"090205003"</f>
        <v>090205003</v>
      </c>
      <c r="F1108" t="s">
        <v>4055</v>
      </c>
      <c r="G1108" t="s">
        <v>42</v>
      </c>
      <c r="H1108" t="s">
        <v>4047</v>
      </c>
      <c r="I1108" t="s">
        <v>4048</v>
      </c>
      <c r="J1108" t="s">
        <v>4049</v>
      </c>
      <c r="K1108" t="str">
        <f t="shared" si="180"/>
        <v>9285364156</v>
      </c>
      <c r="L1108" t="str">
        <f t="shared" si="181"/>
        <v>7714</v>
      </c>
      <c r="M1108" t="str">
        <f>"9285362634"</f>
        <v>9285362634</v>
      </c>
      <c r="N1108" t="str">
        <f>""</f>
        <v/>
      </c>
      <c r="O1108" t="s">
        <v>4050</v>
      </c>
      <c r="P1108" t="s">
        <v>4051</v>
      </c>
      <c r="Q1108" t="s">
        <v>4044</v>
      </c>
      <c r="R1108" t="s">
        <v>4045</v>
      </c>
      <c r="S1108" t="s">
        <v>36</v>
      </c>
      <c r="T1108" t="str">
        <f>"85937"</f>
        <v>85937</v>
      </c>
      <c r="U1108" t="str">
        <f>""</f>
        <v/>
      </c>
      <c r="V1108" t="s">
        <v>4056</v>
      </c>
      <c r="X1108" t="s">
        <v>4045</v>
      </c>
      <c r="Y1108" t="s">
        <v>36</v>
      </c>
      <c r="Z1108" t="str">
        <f>"85937"</f>
        <v>85937</v>
      </c>
      <c r="AA1108" t="str">
        <f>""</f>
        <v/>
      </c>
      <c r="AB1108" t="s">
        <v>86</v>
      </c>
    </row>
    <row r="1109" spans="1:28" x14ac:dyDescent="0.25">
      <c r="A1109">
        <v>4391</v>
      </c>
      <c r="B1109" t="str">
        <f t="shared" si="179"/>
        <v>090205000</v>
      </c>
      <c r="C1109" t="s">
        <v>4039</v>
      </c>
      <c r="D1109">
        <v>5617</v>
      </c>
      <c r="E1109" t="str">
        <f>"090205004"</f>
        <v>090205004</v>
      </c>
      <c r="F1109" t="s">
        <v>4057</v>
      </c>
      <c r="G1109" t="s">
        <v>42</v>
      </c>
      <c r="H1109" t="s">
        <v>4047</v>
      </c>
      <c r="I1109" t="s">
        <v>4048</v>
      </c>
      <c r="J1109" t="s">
        <v>4049</v>
      </c>
      <c r="K1109" t="str">
        <f t="shared" si="180"/>
        <v>9285364156</v>
      </c>
      <c r="L1109" t="str">
        <f t="shared" si="181"/>
        <v>7714</v>
      </c>
      <c r="M1109" t="str">
        <f>"9285367234"</f>
        <v>9285367234</v>
      </c>
      <c r="N1109" t="str">
        <f>""</f>
        <v/>
      </c>
      <c r="O1109" t="s">
        <v>4050</v>
      </c>
      <c r="P1109" t="s">
        <v>4051</v>
      </c>
      <c r="Q1109" t="s">
        <v>4044</v>
      </c>
      <c r="R1109" t="s">
        <v>4045</v>
      </c>
      <c r="S1109" t="s">
        <v>36</v>
      </c>
      <c r="T1109" t="str">
        <f>"85937"</f>
        <v>85937</v>
      </c>
      <c r="U1109" t="str">
        <f>""</f>
        <v/>
      </c>
      <c r="V1109" t="s">
        <v>4058</v>
      </c>
      <c r="X1109" t="s">
        <v>3000</v>
      </c>
      <c r="Y1109" t="s">
        <v>36</v>
      </c>
      <c r="Z1109" t="str">
        <f>"85939"</f>
        <v>85939</v>
      </c>
      <c r="AA1109" t="str">
        <f>""</f>
        <v/>
      </c>
      <c r="AB1109" t="s">
        <v>86</v>
      </c>
    </row>
    <row r="1110" spans="1:28" x14ac:dyDescent="0.25">
      <c r="A1110">
        <v>4391</v>
      </c>
      <c r="B1110" t="str">
        <f t="shared" si="179"/>
        <v>090205000</v>
      </c>
      <c r="C1110" t="s">
        <v>4039</v>
      </c>
      <c r="D1110">
        <v>5618</v>
      </c>
      <c r="E1110" t="str">
        <f>"090205005"</f>
        <v>090205005</v>
      </c>
      <c r="F1110" t="s">
        <v>4059</v>
      </c>
      <c r="G1110" t="s">
        <v>42</v>
      </c>
      <c r="H1110" t="s">
        <v>4047</v>
      </c>
      <c r="I1110" t="s">
        <v>4048</v>
      </c>
      <c r="J1110" t="s">
        <v>4049</v>
      </c>
      <c r="K1110" t="str">
        <f t="shared" si="180"/>
        <v>9285364156</v>
      </c>
      <c r="L1110" t="str">
        <f t="shared" si="181"/>
        <v>7714</v>
      </c>
      <c r="M1110" t="str">
        <f>"9285362634"</f>
        <v>9285362634</v>
      </c>
      <c r="N1110" t="str">
        <f>""</f>
        <v/>
      </c>
      <c r="O1110" t="s">
        <v>4050</v>
      </c>
      <c r="P1110" t="s">
        <v>4051</v>
      </c>
      <c r="Q1110" t="s">
        <v>4044</v>
      </c>
      <c r="R1110" t="s">
        <v>4045</v>
      </c>
      <c r="S1110" t="s">
        <v>36</v>
      </c>
      <c r="T1110" t="str">
        <f>"85937"</f>
        <v>85937</v>
      </c>
      <c r="U1110" t="str">
        <f>""</f>
        <v/>
      </c>
      <c r="V1110" t="s">
        <v>4060</v>
      </c>
      <c r="X1110" t="s">
        <v>4045</v>
      </c>
      <c r="Y1110" t="s">
        <v>36</v>
      </c>
      <c r="Z1110" t="str">
        <f>"85937"</f>
        <v>85937</v>
      </c>
      <c r="AA1110" t="str">
        <f>""</f>
        <v/>
      </c>
      <c r="AB1110" t="s">
        <v>86</v>
      </c>
    </row>
    <row r="1111" spans="1:28" x14ac:dyDescent="0.25">
      <c r="A1111">
        <v>4391</v>
      </c>
      <c r="B1111" t="str">
        <f t="shared" si="179"/>
        <v>090205000</v>
      </c>
      <c r="C1111" t="s">
        <v>4039</v>
      </c>
      <c r="D1111">
        <v>5619</v>
      </c>
      <c r="E1111" t="str">
        <f>"090205006"</f>
        <v>090205006</v>
      </c>
      <c r="F1111" t="s">
        <v>4061</v>
      </c>
      <c r="G1111" t="s">
        <v>42</v>
      </c>
      <c r="H1111" t="s">
        <v>4047</v>
      </c>
      <c r="I1111" t="s">
        <v>4048</v>
      </c>
      <c r="J1111" t="s">
        <v>4049</v>
      </c>
      <c r="K1111" t="str">
        <f t="shared" si="180"/>
        <v>9285364156</v>
      </c>
      <c r="L1111" t="str">
        <f t="shared" si="181"/>
        <v>7714</v>
      </c>
      <c r="M1111" t="str">
        <f>"9285362634"</f>
        <v>9285362634</v>
      </c>
      <c r="N1111" t="str">
        <f>""</f>
        <v/>
      </c>
      <c r="O1111" t="s">
        <v>4050</v>
      </c>
      <c r="P1111" t="s">
        <v>4051</v>
      </c>
      <c r="Q1111" t="s">
        <v>4044</v>
      </c>
      <c r="R1111" t="s">
        <v>4045</v>
      </c>
      <c r="S1111" t="s">
        <v>36</v>
      </c>
      <c r="T1111" t="str">
        <f>"85937"</f>
        <v>85937</v>
      </c>
      <c r="U1111" t="str">
        <f>""</f>
        <v/>
      </c>
      <c r="V1111" t="s">
        <v>4062</v>
      </c>
      <c r="X1111" t="s">
        <v>4045</v>
      </c>
      <c r="Y1111" t="s">
        <v>36</v>
      </c>
      <c r="Z1111" t="str">
        <f>"85937"</f>
        <v>85937</v>
      </c>
      <c r="AA1111" t="str">
        <f>""</f>
        <v/>
      </c>
      <c r="AB1111" t="s">
        <v>86</v>
      </c>
    </row>
    <row r="1112" spans="1:28" x14ac:dyDescent="0.25">
      <c r="A1112">
        <v>4392</v>
      </c>
      <c r="B1112" t="str">
        <f>"090206000"</f>
        <v>090206000</v>
      </c>
      <c r="C1112" t="s">
        <v>4063</v>
      </c>
      <c r="D1112">
        <v>0</v>
      </c>
      <c r="E1112" t="str">
        <f>""</f>
        <v/>
      </c>
      <c r="G1112" t="s">
        <v>29</v>
      </c>
      <c r="H1112" t="s">
        <v>1404</v>
      </c>
      <c r="I1112" t="s">
        <v>4064</v>
      </c>
      <c r="J1112" t="s">
        <v>134</v>
      </c>
      <c r="K1112" t="str">
        <f>"9285354622"</f>
        <v>9285354622</v>
      </c>
      <c r="L1112" t="str">
        <f>"5003"</f>
        <v>5003</v>
      </c>
      <c r="M1112" t="str">
        <f>"9285355146"</f>
        <v>9285355146</v>
      </c>
      <c r="N1112" t="str">
        <f>""</f>
        <v/>
      </c>
      <c r="O1112" t="s">
        <v>4065</v>
      </c>
      <c r="P1112" t="s">
        <v>4066</v>
      </c>
      <c r="R1112" t="s">
        <v>4067</v>
      </c>
      <c r="S1112" t="s">
        <v>36</v>
      </c>
      <c r="T1112" t="str">
        <f>"85928"</f>
        <v>85928</v>
      </c>
      <c r="U1112" t="str">
        <f>""</f>
        <v/>
      </c>
      <c r="V1112" t="s">
        <v>4068</v>
      </c>
      <c r="W1112" t="s">
        <v>4069</v>
      </c>
      <c r="X1112" t="s">
        <v>4070</v>
      </c>
      <c r="Y1112" t="s">
        <v>36</v>
      </c>
      <c r="Z1112" t="str">
        <f>"85928"</f>
        <v>85928</v>
      </c>
      <c r="AA1112" t="str">
        <f>""</f>
        <v/>
      </c>
      <c r="AB1112" t="s">
        <v>156</v>
      </c>
    </row>
    <row r="1113" spans="1:28" x14ac:dyDescent="0.25">
      <c r="A1113">
        <v>4392</v>
      </c>
      <c r="B1113" t="str">
        <f>"090206000"</f>
        <v>090206000</v>
      </c>
      <c r="C1113" t="s">
        <v>4063</v>
      </c>
      <c r="D1113">
        <v>5623</v>
      </c>
      <c r="E1113" t="str">
        <f>"090206102"</f>
        <v>090206102</v>
      </c>
      <c r="F1113" t="s">
        <v>4071</v>
      </c>
      <c r="G1113" t="s">
        <v>42</v>
      </c>
      <c r="H1113" t="s">
        <v>1404</v>
      </c>
      <c r="I1113" t="s">
        <v>4064</v>
      </c>
      <c r="J1113" t="s">
        <v>134</v>
      </c>
      <c r="K1113" t="str">
        <f>"9285354622"</f>
        <v>9285354622</v>
      </c>
      <c r="L1113" t="str">
        <f>"5003"</f>
        <v>5003</v>
      </c>
      <c r="M1113" t="str">
        <f>"9285355146"</f>
        <v>9285355146</v>
      </c>
      <c r="N1113" t="str">
        <f>""</f>
        <v/>
      </c>
      <c r="O1113" t="s">
        <v>4065</v>
      </c>
      <c r="P1113" t="s">
        <v>4066</v>
      </c>
      <c r="R1113" t="s">
        <v>4070</v>
      </c>
      <c r="S1113" t="s">
        <v>36</v>
      </c>
      <c r="T1113" t="str">
        <f>"85928"</f>
        <v>85928</v>
      </c>
      <c r="U1113" t="str">
        <f>""</f>
        <v/>
      </c>
      <c r="V1113" t="s">
        <v>4072</v>
      </c>
      <c r="X1113" t="s">
        <v>4070</v>
      </c>
      <c r="Y1113" t="s">
        <v>36</v>
      </c>
      <c r="Z1113" t="str">
        <f>"85928"</f>
        <v>85928</v>
      </c>
      <c r="AA1113" t="str">
        <f>""</f>
        <v/>
      </c>
      <c r="AB1113" t="s">
        <v>156</v>
      </c>
    </row>
    <row r="1114" spans="1:28" x14ac:dyDescent="0.25">
      <c r="A1114">
        <v>4392</v>
      </c>
      <c r="B1114" t="str">
        <f>"090206000"</f>
        <v>090206000</v>
      </c>
      <c r="C1114" t="s">
        <v>4063</v>
      </c>
      <c r="D1114">
        <v>5625</v>
      </c>
      <c r="E1114" t="str">
        <f>"090206201"</f>
        <v>090206201</v>
      </c>
      <c r="F1114" t="s">
        <v>4073</v>
      </c>
      <c r="G1114" t="s">
        <v>42</v>
      </c>
      <c r="H1114" t="s">
        <v>1404</v>
      </c>
      <c r="I1114" t="s">
        <v>4064</v>
      </c>
      <c r="J1114" t="s">
        <v>134</v>
      </c>
      <c r="K1114" t="str">
        <f>"9285354622"</f>
        <v>9285354622</v>
      </c>
      <c r="L1114" t="str">
        <f>"5003"</f>
        <v>5003</v>
      </c>
      <c r="M1114" t="str">
        <f>"9285355146"</f>
        <v>9285355146</v>
      </c>
      <c r="N1114" t="str">
        <f>""</f>
        <v/>
      </c>
      <c r="O1114" t="s">
        <v>4065</v>
      </c>
      <c r="P1114" t="s">
        <v>4073</v>
      </c>
      <c r="Q1114" t="s">
        <v>4074</v>
      </c>
      <c r="R1114" t="s">
        <v>4070</v>
      </c>
      <c r="S1114" t="s">
        <v>36</v>
      </c>
      <c r="T1114" t="str">
        <f>"85928"</f>
        <v>85928</v>
      </c>
      <c r="U1114" t="str">
        <f>""</f>
        <v/>
      </c>
      <c r="V1114" t="s">
        <v>4075</v>
      </c>
      <c r="W1114" t="s">
        <v>4076</v>
      </c>
      <c r="X1114" t="s">
        <v>4070</v>
      </c>
      <c r="Y1114" t="s">
        <v>36</v>
      </c>
      <c r="Z1114" t="str">
        <f>"85928"</f>
        <v>85928</v>
      </c>
      <c r="AA1114" t="str">
        <f>""</f>
        <v/>
      </c>
      <c r="AB1114" t="s">
        <v>156</v>
      </c>
    </row>
    <row r="1115" spans="1:28" x14ac:dyDescent="0.25">
      <c r="A1115">
        <v>4392</v>
      </c>
      <c r="B1115" t="str">
        <f>"090206000"</f>
        <v>090206000</v>
      </c>
      <c r="C1115" t="s">
        <v>4063</v>
      </c>
      <c r="D1115">
        <v>6053</v>
      </c>
      <c r="E1115" t="str">
        <f>"090206101"</f>
        <v>090206101</v>
      </c>
      <c r="F1115" t="s">
        <v>4077</v>
      </c>
      <c r="G1115" t="s">
        <v>42</v>
      </c>
      <c r="H1115" t="s">
        <v>1404</v>
      </c>
      <c r="I1115" t="s">
        <v>4064</v>
      </c>
      <c r="J1115" t="s">
        <v>134</v>
      </c>
      <c r="K1115" t="str">
        <f>"9285354622"</f>
        <v>9285354622</v>
      </c>
      <c r="L1115" t="str">
        <f>"5003"</f>
        <v>5003</v>
      </c>
      <c r="M1115" t="str">
        <f>"9285355146"</f>
        <v>9285355146</v>
      </c>
      <c r="N1115" t="str">
        <f>""</f>
        <v/>
      </c>
      <c r="O1115" t="s">
        <v>4065</v>
      </c>
      <c r="P1115" t="s">
        <v>4078</v>
      </c>
      <c r="Q1115" t="s">
        <v>4079</v>
      </c>
      <c r="R1115" t="s">
        <v>4080</v>
      </c>
      <c r="S1115" t="s">
        <v>36</v>
      </c>
      <c r="T1115" t="str">
        <f>"85933"</f>
        <v>85933</v>
      </c>
      <c r="U1115" t="str">
        <f>""</f>
        <v/>
      </c>
      <c r="V1115" t="s">
        <v>4081</v>
      </c>
      <c r="W1115" t="s">
        <v>4082</v>
      </c>
      <c r="X1115" t="s">
        <v>4080</v>
      </c>
      <c r="Y1115" t="s">
        <v>36</v>
      </c>
      <c r="Z1115" t="str">
        <f>"85933"</f>
        <v>85933</v>
      </c>
      <c r="AA1115" t="str">
        <f>""</f>
        <v/>
      </c>
      <c r="AB1115" t="s">
        <v>156</v>
      </c>
    </row>
    <row r="1116" spans="1:28" x14ac:dyDescent="0.25">
      <c r="A1116">
        <v>4393</v>
      </c>
      <c r="B1116" t="str">
        <f t="shared" ref="B1116:B1121" si="182">"090210000"</f>
        <v>090210000</v>
      </c>
      <c r="C1116" t="s">
        <v>4083</v>
      </c>
      <c r="D1116">
        <v>0</v>
      </c>
      <c r="E1116" t="str">
        <f>""</f>
        <v/>
      </c>
      <c r="G1116" t="s">
        <v>29</v>
      </c>
      <c r="H1116" t="s">
        <v>4084</v>
      </c>
      <c r="I1116" t="s">
        <v>4085</v>
      </c>
      <c r="J1116" t="s">
        <v>134</v>
      </c>
      <c r="K1116" t="str">
        <f>"9285376001"</f>
        <v>9285376001</v>
      </c>
      <c r="L1116" t="str">
        <f>"1008"</f>
        <v>1008</v>
      </c>
      <c r="M1116" t="str">
        <f>"9285376004"</f>
        <v>9285376004</v>
      </c>
      <c r="N1116" t="str">
        <f>""</f>
        <v/>
      </c>
      <c r="O1116" t="s">
        <v>4086</v>
      </c>
      <c r="P1116" t="s">
        <v>4087</v>
      </c>
      <c r="R1116" t="s">
        <v>4088</v>
      </c>
      <c r="S1116" t="s">
        <v>36</v>
      </c>
      <c r="T1116" t="str">
        <f t="shared" ref="T1116:T1121" si="183">"85901"</f>
        <v>85901</v>
      </c>
      <c r="U1116" t="str">
        <f>""</f>
        <v/>
      </c>
      <c r="V1116" t="s">
        <v>4087</v>
      </c>
      <c r="X1116" t="s">
        <v>4088</v>
      </c>
      <c r="Y1116" t="s">
        <v>36</v>
      </c>
      <c r="Z1116" t="str">
        <f t="shared" ref="Z1116:Z1121" si="184">"85901"</f>
        <v>85901</v>
      </c>
      <c r="AA1116" t="str">
        <f>""</f>
        <v/>
      </c>
      <c r="AB1116" t="s">
        <v>632</v>
      </c>
    </row>
    <row r="1117" spans="1:28" x14ac:dyDescent="0.25">
      <c r="A1117">
        <v>4393</v>
      </c>
      <c r="B1117" t="str">
        <f t="shared" si="182"/>
        <v>090210000</v>
      </c>
      <c r="C1117" t="s">
        <v>4083</v>
      </c>
      <c r="D1117">
        <v>5626</v>
      </c>
      <c r="E1117" t="str">
        <f>"090210111"</f>
        <v>090210111</v>
      </c>
      <c r="F1117" t="s">
        <v>4089</v>
      </c>
      <c r="G1117" t="s">
        <v>42</v>
      </c>
      <c r="H1117" t="s">
        <v>4090</v>
      </c>
      <c r="I1117" t="s">
        <v>2575</v>
      </c>
      <c r="J1117" t="s">
        <v>32</v>
      </c>
      <c r="K1117" t="str">
        <f>"9285376014"</f>
        <v>9285376014</v>
      </c>
      <c r="L1117" t="str">
        <f>"1"</f>
        <v>1</v>
      </c>
      <c r="M1117" t="str">
        <f>"9285376004"</f>
        <v>9285376004</v>
      </c>
      <c r="N1117" t="str">
        <f>""</f>
        <v/>
      </c>
      <c r="O1117" t="s">
        <v>4091</v>
      </c>
      <c r="P1117" t="s">
        <v>4092</v>
      </c>
      <c r="R1117" t="s">
        <v>4088</v>
      </c>
      <c r="S1117" t="s">
        <v>36</v>
      </c>
      <c r="T1117" t="str">
        <f t="shared" si="183"/>
        <v>85901</v>
      </c>
      <c r="U1117" t="str">
        <f>"4645"</f>
        <v>4645</v>
      </c>
      <c r="V1117" t="s">
        <v>4093</v>
      </c>
      <c r="X1117" t="s">
        <v>4088</v>
      </c>
      <c r="Y1117" t="s">
        <v>36</v>
      </c>
      <c r="Z1117" t="str">
        <f t="shared" si="184"/>
        <v>85901</v>
      </c>
      <c r="AA1117" t="str">
        <f>""</f>
        <v/>
      </c>
      <c r="AB1117" t="s">
        <v>632</v>
      </c>
    </row>
    <row r="1118" spans="1:28" x14ac:dyDescent="0.25">
      <c r="A1118">
        <v>4393</v>
      </c>
      <c r="B1118" t="str">
        <f t="shared" si="182"/>
        <v>090210000</v>
      </c>
      <c r="C1118" t="s">
        <v>4083</v>
      </c>
      <c r="D1118">
        <v>5627</v>
      </c>
      <c r="E1118" t="str">
        <f>"090210115"</f>
        <v>090210115</v>
      </c>
      <c r="F1118" t="s">
        <v>4094</v>
      </c>
      <c r="G1118" t="s">
        <v>42</v>
      </c>
      <c r="H1118" t="s">
        <v>4090</v>
      </c>
      <c r="I1118" t="s">
        <v>2575</v>
      </c>
      <c r="J1118" t="s">
        <v>32</v>
      </c>
      <c r="K1118" t="str">
        <f>"9285376014"</f>
        <v>9285376014</v>
      </c>
      <c r="L1118" t="str">
        <f>"1"</f>
        <v>1</v>
      </c>
      <c r="M1118" t="str">
        <f>""</f>
        <v/>
      </c>
      <c r="N1118" t="str">
        <f>""</f>
        <v/>
      </c>
      <c r="O1118" t="s">
        <v>4091</v>
      </c>
      <c r="P1118" t="s">
        <v>4087</v>
      </c>
      <c r="R1118" t="s">
        <v>4088</v>
      </c>
      <c r="S1118" t="s">
        <v>36</v>
      </c>
      <c r="T1118" t="str">
        <f t="shared" si="183"/>
        <v>85901</v>
      </c>
      <c r="U1118" t="str">
        <f>"4645"</f>
        <v>4645</v>
      </c>
      <c r="V1118" t="s">
        <v>4095</v>
      </c>
      <c r="X1118" t="s">
        <v>4088</v>
      </c>
      <c r="Y1118" t="s">
        <v>36</v>
      </c>
      <c r="Z1118" t="str">
        <f t="shared" si="184"/>
        <v>85901</v>
      </c>
      <c r="AA1118" t="str">
        <f>""</f>
        <v/>
      </c>
      <c r="AB1118" t="s">
        <v>632</v>
      </c>
    </row>
    <row r="1119" spans="1:28" x14ac:dyDescent="0.25">
      <c r="A1119">
        <v>4393</v>
      </c>
      <c r="B1119" t="str">
        <f t="shared" si="182"/>
        <v>090210000</v>
      </c>
      <c r="C1119" t="s">
        <v>4083</v>
      </c>
      <c r="D1119">
        <v>5628</v>
      </c>
      <c r="E1119" t="str">
        <f>"090210116"</f>
        <v>090210116</v>
      </c>
      <c r="F1119" t="s">
        <v>4096</v>
      </c>
      <c r="G1119" t="s">
        <v>42</v>
      </c>
      <c r="H1119" t="s">
        <v>4090</v>
      </c>
      <c r="I1119" t="s">
        <v>2575</v>
      </c>
      <c r="J1119" t="s">
        <v>32</v>
      </c>
      <c r="K1119" t="str">
        <f>"9285376014"</f>
        <v>9285376014</v>
      </c>
      <c r="L1119" t="str">
        <f>"1"</f>
        <v>1</v>
      </c>
      <c r="M1119" t="str">
        <f>""</f>
        <v/>
      </c>
      <c r="N1119" t="str">
        <f>""</f>
        <v/>
      </c>
      <c r="O1119" t="s">
        <v>4091</v>
      </c>
      <c r="P1119" t="s">
        <v>4092</v>
      </c>
      <c r="R1119" t="s">
        <v>4088</v>
      </c>
      <c r="S1119" t="s">
        <v>36</v>
      </c>
      <c r="T1119" t="str">
        <f t="shared" si="183"/>
        <v>85901</v>
      </c>
      <c r="U1119" t="str">
        <f>"4645"</f>
        <v>4645</v>
      </c>
      <c r="V1119" t="s">
        <v>4097</v>
      </c>
      <c r="X1119" t="s">
        <v>4088</v>
      </c>
      <c r="Y1119" t="s">
        <v>36</v>
      </c>
      <c r="Z1119" t="str">
        <f t="shared" si="184"/>
        <v>85901</v>
      </c>
      <c r="AA1119" t="str">
        <f>""</f>
        <v/>
      </c>
      <c r="AB1119" t="s">
        <v>632</v>
      </c>
    </row>
    <row r="1120" spans="1:28" x14ac:dyDescent="0.25">
      <c r="A1120">
        <v>4393</v>
      </c>
      <c r="B1120" t="str">
        <f t="shared" si="182"/>
        <v>090210000</v>
      </c>
      <c r="C1120" t="s">
        <v>4083</v>
      </c>
      <c r="D1120">
        <v>5631</v>
      </c>
      <c r="E1120" t="str">
        <f>"090210120"</f>
        <v>090210120</v>
      </c>
      <c r="F1120" t="s">
        <v>4098</v>
      </c>
      <c r="G1120" t="s">
        <v>42</v>
      </c>
      <c r="H1120" t="s">
        <v>4090</v>
      </c>
      <c r="I1120" t="s">
        <v>2575</v>
      </c>
      <c r="J1120" t="s">
        <v>32</v>
      </c>
      <c r="K1120" t="str">
        <f>"9285376014"</f>
        <v>9285376014</v>
      </c>
      <c r="L1120" t="str">
        <f>"1"</f>
        <v>1</v>
      </c>
      <c r="M1120" t="str">
        <f>"9285376004"</f>
        <v>9285376004</v>
      </c>
      <c r="N1120" t="str">
        <f>""</f>
        <v/>
      </c>
      <c r="O1120" t="s">
        <v>4091</v>
      </c>
      <c r="P1120" t="s">
        <v>4087</v>
      </c>
      <c r="R1120" t="s">
        <v>4088</v>
      </c>
      <c r="S1120" t="s">
        <v>36</v>
      </c>
      <c r="T1120" t="str">
        <f t="shared" si="183"/>
        <v>85901</v>
      </c>
      <c r="U1120" t="str">
        <f>""</f>
        <v/>
      </c>
      <c r="V1120" t="s">
        <v>4087</v>
      </c>
      <c r="X1120" t="s">
        <v>4088</v>
      </c>
      <c r="Y1120" t="s">
        <v>36</v>
      </c>
      <c r="Z1120" t="str">
        <f t="shared" si="184"/>
        <v>85901</v>
      </c>
      <c r="AA1120" t="str">
        <f>""</f>
        <v/>
      </c>
      <c r="AB1120" t="s">
        <v>632</v>
      </c>
    </row>
    <row r="1121" spans="1:28" x14ac:dyDescent="0.25">
      <c r="A1121">
        <v>4393</v>
      </c>
      <c r="B1121" t="str">
        <f t="shared" si="182"/>
        <v>090210000</v>
      </c>
      <c r="C1121" t="s">
        <v>4083</v>
      </c>
      <c r="D1121">
        <v>5632</v>
      </c>
      <c r="E1121" t="str">
        <f>"090210225"</f>
        <v>090210225</v>
      </c>
      <c r="F1121" t="s">
        <v>4099</v>
      </c>
      <c r="G1121" t="s">
        <v>42</v>
      </c>
      <c r="H1121" t="s">
        <v>4090</v>
      </c>
      <c r="I1121" t="s">
        <v>2575</v>
      </c>
      <c r="J1121" t="s">
        <v>32</v>
      </c>
      <c r="K1121" t="str">
        <f>"9285376014"</f>
        <v>9285376014</v>
      </c>
      <c r="L1121" t="str">
        <f>"1"</f>
        <v>1</v>
      </c>
      <c r="M1121" t="str">
        <f>"9285376004"</f>
        <v>9285376004</v>
      </c>
      <c r="N1121" t="str">
        <f>""</f>
        <v/>
      </c>
      <c r="O1121" t="s">
        <v>4091</v>
      </c>
      <c r="P1121" t="s">
        <v>4092</v>
      </c>
      <c r="R1121" t="s">
        <v>4088</v>
      </c>
      <c r="S1121" t="s">
        <v>36</v>
      </c>
      <c r="T1121" t="str">
        <f t="shared" si="183"/>
        <v>85901</v>
      </c>
      <c r="U1121" t="str">
        <f>"4645"</f>
        <v>4645</v>
      </c>
      <c r="V1121" t="s">
        <v>4100</v>
      </c>
      <c r="X1121" t="s">
        <v>4088</v>
      </c>
      <c r="Y1121" t="s">
        <v>36</v>
      </c>
      <c r="Z1121" t="str">
        <f t="shared" si="184"/>
        <v>85901</v>
      </c>
      <c r="AA1121" t="str">
        <f>""</f>
        <v/>
      </c>
      <c r="AB1121" t="s">
        <v>632</v>
      </c>
    </row>
    <row r="1122" spans="1:28" x14ac:dyDescent="0.25">
      <c r="A1122">
        <v>4394</v>
      </c>
      <c r="B1122" t="str">
        <f t="shared" ref="B1122:B1127" si="185">"090220000"</f>
        <v>090220000</v>
      </c>
      <c r="C1122" t="s">
        <v>4101</v>
      </c>
      <c r="D1122">
        <v>0</v>
      </c>
      <c r="E1122" t="str">
        <f>""</f>
        <v/>
      </c>
      <c r="G1122" t="s">
        <v>29</v>
      </c>
      <c r="H1122" t="s">
        <v>4102</v>
      </c>
      <c r="I1122" t="s">
        <v>4103</v>
      </c>
      <c r="J1122" t="s">
        <v>4104</v>
      </c>
      <c r="K1122" t="str">
        <f t="shared" ref="K1122:K1127" si="186">"9283585800"</f>
        <v>9283585800</v>
      </c>
      <c r="L1122" t="str">
        <f>""</f>
        <v/>
      </c>
      <c r="M1122" t="str">
        <f t="shared" ref="M1122:M1127" si="187">"9283585801"</f>
        <v>9283585801</v>
      </c>
      <c r="N1122" t="str">
        <f>""</f>
        <v/>
      </c>
      <c r="O1122" t="s">
        <v>4105</v>
      </c>
      <c r="P1122" t="s">
        <v>4106</v>
      </c>
      <c r="R1122" t="s">
        <v>4107</v>
      </c>
      <c r="S1122" t="s">
        <v>36</v>
      </c>
      <c r="T1122" t="str">
        <f t="shared" ref="T1122:T1127" si="188">"85941"</f>
        <v>85941</v>
      </c>
      <c r="U1122" t="str">
        <f t="shared" ref="U1122:U1127" si="189">"0190"</f>
        <v>0190</v>
      </c>
      <c r="V1122" t="s">
        <v>4108</v>
      </c>
      <c r="X1122" t="s">
        <v>4107</v>
      </c>
      <c r="Y1122" t="s">
        <v>36</v>
      </c>
      <c r="Z1122" t="str">
        <f t="shared" ref="Z1122:Z1127" si="190">"85941"</f>
        <v>85941</v>
      </c>
      <c r="AA1122" t="str">
        <f t="shared" ref="AA1122:AA1127" si="191">"0190"</f>
        <v>0190</v>
      </c>
      <c r="AB1122" t="s">
        <v>1466</v>
      </c>
    </row>
    <row r="1123" spans="1:28" x14ac:dyDescent="0.25">
      <c r="A1123">
        <v>4394</v>
      </c>
      <c r="B1123" t="str">
        <f t="shared" si="185"/>
        <v>090220000</v>
      </c>
      <c r="C1123" t="s">
        <v>4101</v>
      </c>
      <c r="D1123">
        <v>5633</v>
      </c>
      <c r="E1123" t="str">
        <f>"090220101"</f>
        <v>090220101</v>
      </c>
      <c r="F1123" t="s">
        <v>4109</v>
      </c>
      <c r="G1123" t="s">
        <v>42</v>
      </c>
      <c r="H1123" t="s">
        <v>4110</v>
      </c>
      <c r="I1123" t="s">
        <v>4111</v>
      </c>
      <c r="J1123" t="s">
        <v>134</v>
      </c>
      <c r="K1123" t="str">
        <f t="shared" si="186"/>
        <v>9283585800</v>
      </c>
      <c r="L1123" t="str">
        <f>""</f>
        <v/>
      </c>
      <c r="M1123" t="str">
        <f t="shared" si="187"/>
        <v>9283585801</v>
      </c>
      <c r="N1123" t="str">
        <f>""</f>
        <v/>
      </c>
      <c r="O1123" t="s">
        <v>4112</v>
      </c>
      <c r="P1123" t="s">
        <v>4106</v>
      </c>
      <c r="R1123" t="s">
        <v>4107</v>
      </c>
      <c r="S1123" t="s">
        <v>36</v>
      </c>
      <c r="T1123" t="str">
        <f t="shared" si="188"/>
        <v>85941</v>
      </c>
      <c r="U1123" t="str">
        <f t="shared" si="189"/>
        <v>0190</v>
      </c>
      <c r="V1123" t="s">
        <v>4113</v>
      </c>
      <c r="X1123" t="s">
        <v>4107</v>
      </c>
      <c r="Y1123" t="s">
        <v>36</v>
      </c>
      <c r="Z1123" t="str">
        <f t="shared" si="190"/>
        <v>85941</v>
      </c>
      <c r="AA1123" t="str">
        <f t="shared" si="191"/>
        <v>0190</v>
      </c>
      <c r="AB1123" t="s">
        <v>1466</v>
      </c>
    </row>
    <row r="1124" spans="1:28" x14ac:dyDescent="0.25">
      <c r="A1124">
        <v>4394</v>
      </c>
      <c r="B1124" t="str">
        <f t="shared" si="185"/>
        <v>090220000</v>
      </c>
      <c r="C1124" t="s">
        <v>4101</v>
      </c>
      <c r="D1124">
        <v>5635</v>
      </c>
      <c r="E1124" t="str">
        <f>"090220103"</f>
        <v>090220103</v>
      </c>
      <c r="F1124" t="s">
        <v>4114</v>
      </c>
      <c r="G1124" t="s">
        <v>42</v>
      </c>
      <c r="H1124" t="s">
        <v>4110</v>
      </c>
      <c r="I1124" t="s">
        <v>4111</v>
      </c>
      <c r="J1124" t="s">
        <v>134</v>
      </c>
      <c r="K1124" t="str">
        <f t="shared" si="186"/>
        <v>9283585800</v>
      </c>
      <c r="L1124" t="str">
        <f>""</f>
        <v/>
      </c>
      <c r="M1124" t="str">
        <f t="shared" si="187"/>
        <v>9283585801</v>
      </c>
      <c r="N1124" t="str">
        <f>""</f>
        <v/>
      </c>
      <c r="O1124" t="s">
        <v>4112</v>
      </c>
      <c r="P1124" t="s">
        <v>4106</v>
      </c>
      <c r="R1124" t="s">
        <v>4107</v>
      </c>
      <c r="S1124" t="s">
        <v>36</v>
      </c>
      <c r="T1124" t="str">
        <f t="shared" si="188"/>
        <v>85941</v>
      </c>
      <c r="U1124" t="str">
        <f t="shared" si="189"/>
        <v>0190</v>
      </c>
      <c r="V1124" t="s">
        <v>4115</v>
      </c>
      <c r="W1124" t="s">
        <v>4116</v>
      </c>
      <c r="X1124" t="s">
        <v>4107</v>
      </c>
      <c r="Y1124" t="s">
        <v>36</v>
      </c>
      <c r="Z1124" t="str">
        <f t="shared" si="190"/>
        <v>85941</v>
      </c>
      <c r="AA1124" t="str">
        <f t="shared" si="191"/>
        <v>0190</v>
      </c>
      <c r="AB1124" t="s">
        <v>1466</v>
      </c>
    </row>
    <row r="1125" spans="1:28" x14ac:dyDescent="0.25">
      <c r="A1125">
        <v>4394</v>
      </c>
      <c r="B1125" t="str">
        <f t="shared" si="185"/>
        <v>090220000</v>
      </c>
      <c r="C1125" t="s">
        <v>4101</v>
      </c>
      <c r="D1125">
        <v>5636</v>
      </c>
      <c r="E1125" t="str">
        <f>"090220106"</f>
        <v>090220106</v>
      </c>
      <c r="F1125" t="s">
        <v>4117</v>
      </c>
      <c r="G1125" t="s">
        <v>42</v>
      </c>
      <c r="H1125" t="s">
        <v>4110</v>
      </c>
      <c r="I1125" t="s">
        <v>4111</v>
      </c>
      <c r="J1125" t="s">
        <v>134</v>
      </c>
      <c r="K1125" t="str">
        <f t="shared" si="186"/>
        <v>9283585800</v>
      </c>
      <c r="L1125" t="str">
        <f>""</f>
        <v/>
      </c>
      <c r="M1125" t="str">
        <f t="shared" si="187"/>
        <v>9283585801</v>
      </c>
      <c r="N1125" t="str">
        <f>""</f>
        <v/>
      </c>
      <c r="O1125" t="s">
        <v>4112</v>
      </c>
      <c r="P1125" t="s">
        <v>4106</v>
      </c>
      <c r="R1125" t="s">
        <v>4107</v>
      </c>
      <c r="S1125" t="s">
        <v>36</v>
      </c>
      <c r="T1125" t="str">
        <f t="shared" si="188"/>
        <v>85941</v>
      </c>
      <c r="U1125" t="str">
        <f t="shared" si="189"/>
        <v>0190</v>
      </c>
      <c r="V1125" t="s">
        <v>4118</v>
      </c>
      <c r="X1125" t="s">
        <v>4107</v>
      </c>
      <c r="Y1125" t="s">
        <v>36</v>
      </c>
      <c r="Z1125" t="str">
        <f t="shared" si="190"/>
        <v>85941</v>
      </c>
      <c r="AA1125" t="str">
        <f t="shared" si="191"/>
        <v>0190</v>
      </c>
      <c r="AB1125" t="s">
        <v>1466</v>
      </c>
    </row>
    <row r="1126" spans="1:28" x14ac:dyDescent="0.25">
      <c r="A1126">
        <v>4394</v>
      </c>
      <c r="B1126" t="str">
        <f t="shared" si="185"/>
        <v>090220000</v>
      </c>
      <c r="C1126" t="s">
        <v>4101</v>
      </c>
      <c r="D1126">
        <v>5637</v>
      </c>
      <c r="E1126" t="str">
        <f>"090220204"</f>
        <v>090220204</v>
      </c>
      <c r="F1126" t="s">
        <v>4119</v>
      </c>
      <c r="G1126" t="s">
        <v>42</v>
      </c>
      <c r="H1126" t="s">
        <v>4110</v>
      </c>
      <c r="I1126" t="s">
        <v>4111</v>
      </c>
      <c r="J1126" t="s">
        <v>134</v>
      </c>
      <c r="K1126" t="str">
        <f t="shared" si="186"/>
        <v>9283585800</v>
      </c>
      <c r="L1126" t="str">
        <f>""</f>
        <v/>
      </c>
      <c r="M1126" t="str">
        <f t="shared" si="187"/>
        <v>9283585801</v>
      </c>
      <c r="N1126" t="str">
        <f>""</f>
        <v/>
      </c>
      <c r="O1126" t="s">
        <v>4112</v>
      </c>
      <c r="P1126" t="s">
        <v>4106</v>
      </c>
      <c r="R1126" t="s">
        <v>4107</v>
      </c>
      <c r="S1126" t="s">
        <v>36</v>
      </c>
      <c r="T1126" t="str">
        <f t="shared" si="188"/>
        <v>85941</v>
      </c>
      <c r="U1126" t="str">
        <f t="shared" si="189"/>
        <v>0190</v>
      </c>
      <c r="V1126" t="s">
        <v>4120</v>
      </c>
      <c r="X1126" t="s">
        <v>4107</v>
      </c>
      <c r="Y1126" t="s">
        <v>36</v>
      </c>
      <c r="Z1126" t="str">
        <f t="shared" si="190"/>
        <v>85941</v>
      </c>
      <c r="AA1126" t="str">
        <f t="shared" si="191"/>
        <v>0190</v>
      </c>
      <c r="AB1126" t="s">
        <v>1466</v>
      </c>
    </row>
    <row r="1127" spans="1:28" x14ac:dyDescent="0.25">
      <c r="A1127">
        <v>4394</v>
      </c>
      <c r="B1127" t="str">
        <f t="shared" si="185"/>
        <v>090220000</v>
      </c>
      <c r="C1127" t="s">
        <v>4101</v>
      </c>
      <c r="D1127">
        <v>79698</v>
      </c>
      <c r="E1127" t="str">
        <f>"090220107"</f>
        <v>090220107</v>
      </c>
      <c r="F1127" t="s">
        <v>4121</v>
      </c>
      <c r="G1127" t="s">
        <v>42</v>
      </c>
      <c r="H1127" t="s">
        <v>4110</v>
      </c>
      <c r="I1127" t="s">
        <v>4111</v>
      </c>
      <c r="J1127" t="s">
        <v>134</v>
      </c>
      <c r="K1127" t="str">
        <f t="shared" si="186"/>
        <v>9283585800</v>
      </c>
      <c r="L1127" t="str">
        <f>""</f>
        <v/>
      </c>
      <c r="M1127" t="str">
        <f t="shared" si="187"/>
        <v>9283585801</v>
      </c>
      <c r="N1127" t="str">
        <f>""</f>
        <v/>
      </c>
      <c r="O1127" t="s">
        <v>4112</v>
      </c>
      <c r="P1127" t="s">
        <v>4106</v>
      </c>
      <c r="R1127" t="s">
        <v>4107</v>
      </c>
      <c r="S1127" t="s">
        <v>36</v>
      </c>
      <c r="T1127" t="str">
        <f t="shared" si="188"/>
        <v>85941</v>
      </c>
      <c r="U1127" t="str">
        <f t="shared" si="189"/>
        <v>0190</v>
      </c>
      <c r="V1127" t="s">
        <v>4122</v>
      </c>
      <c r="X1127" t="s">
        <v>4107</v>
      </c>
      <c r="Y1127" t="s">
        <v>36</v>
      </c>
      <c r="Z1127" t="str">
        <f t="shared" si="190"/>
        <v>85941</v>
      </c>
      <c r="AA1127" t="str">
        <f t="shared" si="191"/>
        <v>0190</v>
      </c>
      <c r="AB1127" t="s">
        <v>1466</v>
      </c>
    </row>
    <row r="1128" spans="1:28" x14ac:dyDescent="0.25">
      <c r="A1128">
        <v>4395</v>
      </c>
      <c r="B1128" t="str">
        <f>"090225000"</f>
        <v>090225000</v>
      </c>
      <c r="C1128" t="s">
        <v>4123</v>
      </c>
      <c r="D1128">
        <v>0</v>
      </c>
      <c r="E1128" t="str">
        <f>""</f>
        <v/>
      </c>
      <c r="G1128" t="s">
        <v>29</v>
      </c>
      <c r="H1128" t="s">
        <v>4124</v>
      </c>
      <c r="I1128" t="s">
        <v>4125</v>
      </c>
      <c r="J1128" t="s">
        <v>32</v>
      </c>
      <c r="K1128" t="str">
        <f>"9287382334"</f>
        <v>9287382334</v>
      </c>
      <c r="L1128" t="str">
        <f>"114"</f>
        <v>114</v>
      </c>
      <c r="M1128" t="str">
        <f>"9287385404"</f>
        <v>9287385404</v>
      </c>
      <c r="N1128" t="str">
        <f>""</f>
        <v/>
      </c>
      <c r="O1128" t="s">
        <v>4126</v>
      </c>
      <c r="P1128" t="s">
        <v>4127</v>
      </c>
      <c r="R1128" t="s">
        <v>4128</v>
      </c>
      <c r="S1128" t="s">
        <v>36</v>
      </c>
      <c r="T1128" t="str">
        <f>"86034"</f>
        <v>86034</v>
      </c>
      <c r="U1128" t="str">
        <f>""</f>
        <v/>
      </c>
      <c r="V1128" t="s">
        <v>4129</v>
      </c>
      <c r="X1128" t="s">
        <v>4128</v>
      </c>
      <c r="Y1128" t="s">
        <v>36</v>
      </c>
      <c r="Z1128" t="str">
        <f>"86034"</f>
        <v>86034</v>
      </c>
      <c r="AA1128" t="str">
        <f>""</f>
        <v/>
      </c>
      <c r="AB1128" t="s">
        <v>124</v>
      </c>
    </row>
    <row r="1129" spans="1:28" x14ac:dyDescent="0.25">
      <c r="A1129">
        <v>4395</v>
      </c>
      <c r="B1129" t="str">
        <f>"090225000"</f>
        <v>090225000</v>
      </c>
      <c r="C1129" t="s">
        <v>4123</v>
      </c>
      <c r="D1129">
        <v>5638</v>
      </c>
      <c r="E1129" t="str">
        <f>"090225001"</f>
        <v>090225001</v>
      </c>
      <c r="F1129" t="s">
        <v>4130</v>
      </c>
      <c r="G1129" t="s">
        <v>42</v>
      </c>
      <c r="H1129" t="s">
        <v>4124</v>
      </c>
      <c r="I1129" t="s">
        <v>4125</v>
      </c>
      <c r="J1129" t="s">
        <v>32</v>
      </c>
      <c r="K1129" t="str">
        <f>"9287382334"</f>
        <v>9287382334</v>
      </c>
      <c r="L1129" t="str">
        <f>"114"</f>
        <v>114</v>
      </c>
      <c r="M1129" t="str">
        <f>"9287385275"</f>
        <v>9287385275</v>
      </c>
      <c r="N1129" t="str">
        <f>""</f>
        <v/>
      </c>
      <c r="O1129" t="s">
        <v>4126</v>
      </c>
      <c r="P1129" t="s">
        <v>4131</v>
      </c>
      <c r="R1129" t="s">
        <v>4128</v>
      </c>
      <c r="S1129" t="s">
        <v>36</v>
      </c>
      <c r="T1129" t="str">
        <f>"86034"</f>
        <v>86034</v>
      </c>
      <c r="U1129" t="str">
        <f>""</f>
        <v/>
      </c>
      <c r="V1129" t="s">
        <v>4129</v>
      </c>
      <c r="X1129" t="s">
        <v>4128</v>
      </c>
      <c r="Y1129" t="s">
        <v>36</v>
      </c>
      <c r="Z1129" t="str">
        <f>"86034"</f>
        <v>86034</v>
      </c>
      <c r="AA1129" t="str">
        <f>""</f>
        <v/>
      </c>
      <c r="AB1129" t="s">
        <v>124</v>
      </c>
    </row>
    <row r="1130" spans="1:28" x14ac:dyDescent="0.25">
      <c r="A1130">
        <v>4396</v>
      </c>
      <c r="B1130" t="str">
        <f>"090227000"</f>
        <v>090227000</v>
      </c>
      <c r="C1130" t="s">
        <v>4132</v>
      </c>
      <c r="D1130">
        <v>0</v>
      </c>
      <c r="E1130" t="str">
        <f>""</f>
        <v/>
      </c>
      <c r="G1130" t="s">
        <v>29</v>
      </c>
      <c r="H1130" t="s">
        <v>1709</v>
      </c>
      <c r="I1130" t="s">
        <v>4133</v>
      </c>
      <c r="J1130" t="s">
        <v>4134</v>
      </c>
      <c r="K1130" t="str">
        <f>"9286972006"</f>
        <v>9286972006</v>
      </c>
      <c r="L1130" t="str">
        <f>""</f>
        <v/>
      </c>
      <c r="M1130" t="str">
        <f>"9286972110"</f>
        <v>9286972110</v>
      </c>
      <c r="N1130" t="str">
        <f>""</f>
        <v/>
      </c>
      <c r="O1130" t="s">
        <v>4135</v>
      </c>
      <c r="P1130" t="s">
        <v>4136</v>
      </c>
      <c r="R1130" t="s">
        <v>4137</v>
      </c>
      <c r="S1130" t="s">
        <v>36</v>
      </c>
      <c r="T1130" t="str">
        <f>"86033"</f>
        <v>86033</v>
      </c>
      <c r="U1130" t="str">
        <f>""</f>
        <v/>
      </c>
      <c r="V1130" t="s">
        <v>4138</v>
      </c>
      <c r="X1130" t="s">
        <v>4137</v>
      </c>
      <c r="Y1130" t="s">
        <v>36</v>
      </c>
      <c r="Z1130" t="str">
        <f>"86033"</f>
        <v>86033</v>
      </c>
      <c r="AA1130" t="str">
        <f>""</f>
        <v/>
      </c>
      <c r="AB1130" t="s">
        <v>516</v>
      </c>
    </row>
    <row r="1131" spans="1:28" x14ac:dyDescent="0.25">
      <c r="A1131">
        <v>4396</v>
      </c>
      <c r="B1131" t="str">
        <f>"090227000"</f>
        <v>090227000</v>
      </c>
      <c r="C1131" t="s">
        <v>4132</v>
      </c>
      <c r="D1131">
        <v>5641</v>
      </c>
      <c r="E1131" t="str">
        <f>"090227102"</f>
        <v>090227102</v>
      </c>
      <c r="F1131" t="s">
        <v>4139</v>
      </c>
      <c r="G1131" t="s">
        <v>42</v>
      </c>
      <c r="H1131" t="s">
        <v>1709</v>
      </c>
      <c r="I1131" t="s">
        <v>4133</v>
      </c>
      <c r="J1131" t="s">
        <v>4134</v>
      </c>
      <c r="K1131" t="str">
        <f>"9286972006"</f>
        <v>9286972006</v>
      </c>
      <c r="L1131" t="str">
        <f>""</f>
        <v/>
      </c>
      <c r="M1131" t="str">
        <f>"9286972110"</f>
        <v>9286972110</v>
      </c>
      <c r="N1131" t="str">
        <f>""</f>
        <v/>
      </c>
      <c r="O1131" t="s">
        <v>4135</v>
      </c>
      <c r="P1131" t="s">
        <v>4138</v>
      </c>
      <c r="R1131" t="s">
        <v>4137</v>
      </c>
      <c r="S1131" t="s">
        <v>36</v>
      </c>
      <c r="T1131" t="str">
        <f>"86033"</f>
        <v>86033</v>
      </c>
      <c r="U1131" t="str">
        <f>""</f>
        <v/>
      </c>
      <c r="V1131" t="s">
        <v>4138</v>
      </c>
      <c r="X1131" t="s">
        <v>4137</v>
      </c>
      <c r="Y1131" t="s">
        <v>36</v>
      </c>
      <c r="Z1131" t="str">
        <f>"86033"</f>
        <v>86033</v>
      </c>
      <c r="AA1131" t="str">
        <f>""</f>
        <v/>
      </c>
      <c r="AB1131" t="s">
        <v>516</v>
      </c>
    </row>
    <row r="1132" spans="1:28" x14ac:dyDescent="0.25">
      <c r="A1132">
        <v>4396</v>
      </c>
      <c r="B1132" t="str">
        <f>"090227000"</f>
        <v>090227000</v>
      </c>
      <c r="C1132" t="s">
        <v>4132</v>
      </c>
      <c r="D1132">
        <v>5642</v>
      </c>
      <c r="E1132" t="str">
        <f>"090227103"</f>
        <v>090227103</v>
      </c>
      <c r="F1132" t="s">
        <v>4140</v>
      </c>
      <c r="G1132" t="s">
        <v>42</v>
      </c>
      <c r="H1132" t="s">
        <v>1709</v>
      </c>
      <c r="I1132" t="s">
        <v>4133</v>
      </c>
      <c r="J1132" t="s">
        <v>4134</v>
      </c>
      <c r="K1132" t="str">
        <f>"9286972006"</f>
        <v>9286972006</v>
      </c>
      <c r="L1132" t="str">
        <f>""</f>
        <v/>
      </c>
      <c r="M1132" t="str">
        <f>"9286972110"</f>
        <v>9286972110</v>
      </c>
      <c r="N1132" t="str">
        <f>""</f>
        <v/>
      </c>
      <c r="O1132" t="s">
        <v>4135</v>
      </c>
      <c r="P1132" t="s">
        <v>4138</v>
      </c>
      <c r="R1132" t="s">
        <v>4137</v>
      </c>
      <c r="S1132" t="s">
        <v>36</v>
      </c>
      <c r="T1132" t="str">
        <f>"86033"</f>
        <v>86033</v>
      </c>
      <c r="U1132" t="str">
        <f>""</f>
        <v/>
      </c>
      <c r="V1132" t="s">
        <v>4138</v>
      </c>
      <c r="X1132" t="s">
        <v>4137</v>
      </c>
      <c r="Y1132" t="s">
        <v>36</v>
      </c>
      <c r="Z1132" t="str">
        <f>"86033"</f>
        <v>86033</v>
      </c>
      <c r="AA1132" t="str">
        <f>""</f>
        <v/>
      </c>
      <c r="AB1132" t="s">
        <v>516</v>
      </c>
    </row>
    <row r="1133" spans="1:28" x14ac:dyDescent="0.25">
      <c r="A1133">
        <v>4396</v>
      </c>
      <c r="B1133" t="str">
        <f>"090227000"</f>
        <v>090227000</v>
      </c>
      <c r="C1133" t="s">
        <v>4132</v>
      </c>
      <c r="D1133">
        <v>5644</v>
      </c>
      <c r="E1133" t="str">
        <f>"090227201"</f>
        <v>090227201</v>
      </c>
      <c r="F1133" t="s">
        <v>4141</v>
      </c>
      <c r="G1133" t="s">
        <v>42</v>
      </c>
      <c r="H1133" t="s">
        <v>1709</v>
      </c>
      <c r="I1133" t="s">
        <v>4133</v>
      </c>
      <c r="J1133" t="s">
        <v>4134</v>
      </c>
      <c r="K1133" t="str">
        <f>"9286972006"</f>
        <v>9286972006</v>
      </c>
      <c r="L1133" t="str">
        <f>""</f>
        <v/>
      </c>
      <c r="M1133" t="str">
        <f>"9286972110"</f>
        <v>9286972110</v>
      </c>
      <c r="N1133" t="str">
        <f>""</f>
        <v/>
      </c>
      <c r="O1133" t="s">
        <v>4135</v>
      </c>
      <c r="P1133" t="s">
        <v>4138</v>
      </c>
      <c r="R1133" t="s">
        <v>4137</v>
      </c>
      <c r="S1133" t="s">
        <v>36</v>
      </c>
      <c r="T1133" t="str">
        <f>"86033"</f>
        <v>86033</v>
      </c>
      <c r="U1133" t="str">
        <f>""</f>
        <v/>
      </c>
      <c r="V1133" t="s">
        <v>4138</v>
      </c>
      <c r="X1133" t="s">
        <v>4137</v>
      </c>
      <c r="Y1133" t="s">
        <v>36</v>
      </c>
      <c r="Z1133" t="str">
        <f>"86033"</f>
        <v>86033</v>
      </c>
      <c r="AA1133" t="str">
        <f>""</f>
        <v/>
      </c>
      <c r="AB1133" t="s">
        <v>516</v>
      </c>
    </row>
    <row r="1134" spans="1:28" x14ac:dyDescent="0.25">
      <c r="A1134">
        <v>4397</v>
      </c>
      <c r="B1134" t="str">
        <f>"090232000"</f>
        <v>090232000</v>
      </c>
      <c r="C1134" t="s">
        <v>4142</v>
      </c>
      <c r="D1134">
        <v>0</v>
      </c>
      <c r="E1134" t="str">
        <f>""</f>
        <v/>
      </c>
      <c r="G1134" t="s">
        <v>29</v>
      </c>
      <c r="H1134" t="s">
        <v>1404</v>
      </c>
      <c r="I1134" t="s">
        <v>4143</v>
      </c>
      <c r="J1134" t="s">
        <v>4144</v>
      </c>
      <c r="K1134" t="str">
        <f>"9283686126"</f>
        <v>9283686126</v>
      </c>
      <c r="L1134" t="str">
        <f>"1103"</f>
        <v>1103</v>
      </c>
      <c r="M1134" t="str">
        <f>"9283685570"</f>
        <v>9283685570</v>
      </c>
      <c r="N1134" t="str">
        <f>""</f>
        <v/>
      </c>
      <c r="O1134" t="s">
        <v>4145</v>
      </c>
      <c r="P1134" t="s">
        <v>4146</v>
      </c>
      <c r="R1134" t="s">
        <v>4147</v>
      </c>
      <c r="S1134" t="s">
        <v>36</v>
      </c>
      <c r="T1134" t="str">
        <f>"85929"</f>
        <v>85929</v>
      </c>
      <c r="U1134" t="str">
        <f>""</f>
        <v/>
      </c>
      <c r="V1134" t="s">
        <v>4146</v>
      </c>
      <c r="X1134" t="s">
        <v>4147</v>
      </c>
      <c r="Y1134" t="s">
        <v>36</v>
      </c>
      <c r="Z1134" t="str">
        <f>"85929"</f>
        <v>85929</v>
      </c>
      <c r="AA1134" t="str">
        <f>""</f>
        <v/>
      </c>
      <c r="AB1134" t="s">
        <v>821</v>
      </c>
    </row>
    <row r="1135" spans="1:28" x14ac:dyDescent="0.25">
      <c r="A1135">
        <v>4397</v>
      </c>
      <c r="B1135" t="str">
        <f>"090232000"</f>
        <v>090232000</v>
      </c>
      <c r="C1135" t="s">
        <v>4142</v>
      </c>
      <c r="D1135">
        <v>5645</v>
      </c>
      <c r="E1135" t="str">
        <f>"090232101"</f>
        <v>090232101</v>
      </c>
      <c r="F1135" t="s">
        <v>4148</v>
      </c>
      <c r="G1135" t="s">
        <v>42</v>
      </c>
      <c r="H1135" t="s">
        <v>1404</v>
      </c>
      <c r="I1135" t="s">
        <v>4143</v>
      </c>
      <c r="J1135" t="s">
        <v>134</v>
      </c>
      <c r="K1135" t="str">
        <f>"9283686126"</f>
        <v>9283686126</v>
      </c>
      <c r="L1135" t="str">
        <f>"1103"</f>
        <v>1103</v>
      </c>
      <c r="M1135" t="str">
        <f>"9283685570"</f>
        <v>9283685570</v>
      </c>
      <c r="N1135" t="str">
        <f>""</f>
        <v/>
      </c>
      <c r="O1135" t="s">
        <v>4149</v>
      </c>
      <c r="P1135" t="s">
        <v>4146</v>
      </c>
      <c r="R1135" t="s">
        <v>4147</v>
      </c>
      <c r="S1135" t="s">
        <v>36</v>
      </c>
      <c r="T1135" t="str">
        <f>"85929"</f>
        <v>85929</v>
      </c>
      <c r="U1135" t="str">
        <f>""</f>
        <v/>
      </c>
      <c r="V1135" t="s">
        <v>4150</v>
      </c>
      <c r="X1135" t="s">
        <v>4147</v>
      </c>
      <c r="Y1135" t="s">
        <v>36</v>
      </c>
      <c r="Z1135" t="str">
        <f>"85929"</f>
        <v>85929</v>
      </c>
      <c r="AA1135" t="str">
        <f>""</f>
        <v/>
      </c>
      <c r="AB1135" t="s">
        <v>821</v>
      </c>
    </row>
    <row r="1136" spans="1:28" x14ac:dyDescent="0.25">
      <c r="A1136">
        <v>4397</v>
      </c>
      <c r="B1136" t="str">
        <f>"090232000"</f>
        <v>090232000</v>
      </c>
      <c r="C1136" t="s">
        <v>4142</v>
      </c>
      <c r="D1136">
        <v>5647</v>
      </c>
      <c r="E1136" t="str">
        <f>"090232103"</f>
        <v>090232103</v>
      </c>
      <c r="F1136" t="s">
        <v>4151</v>
      </c>
      <c r="G1136" t="s">
        <v>42</v>
      </c>
      <c r="H1136" t="s">
        <v>1404</v>
      </c>
      <c r="I1136" t="s">
        <v>4143</v>
      </c>
      <c r="J1136" t="s">
        <v>134</v>
      </c>
      <c r="K1136" t="str">
        <f>"9283686126"</f>
        <v>9283686126</v>
      </c>
      <c r="L1136" t="str">
        <f>"1103"</f>
        <v>1103</v>
      </c>
      <c r="M1136" t="str">
        <f>"9283685570"</f>
        <v>9283685570</v>
      </c>
      <c r="N1136" t="str">
        <f>""</f>
        <v/>
      </c>
      <c r="O1136" t="s">
        <v>4149</v>
      </c>
      <c r="P1136" t="s">
        <v>4146</v>
      </c>
      <c r="R1136" t="s">
        <v>4147</v>
      </c>
      <c r="S1136" t="s">
        <v>36</v>
      </c>
      <c r="T1136" t="str">
        <f>"85929"</f>
        <v>85929</v>
      </c>
      <c r="U1136" t="str">
        <f>""</f>
        <v/>
      </c>
      <c r="V1136" t="s">
        <v>4152</v>
      </c>
      <c r="X1136" t="s">
        <v>4147</v>
      </c>
      <c r="Y1136" t="s">
        <v>36</v>
      </c>
      <c r="Z1136" t="str">
        <f>"85929"</f>
        <v>85929</v>
      </c>
      <c r="AA1136" t="str">
        <f>""</f>
        <v/>
      </c>
      <c r="AB1136" t="s">
        <v>821</v>
      </c>
    </row>
    <row r="1137" spans="1:28" x14ac:dyDescent="0.25">
      <c r="A1137">
        <v>4397</v>
      </c>
      <c r="B1137" t="str">
        <f>"090232000"</f>
        <v>090232000</v>
      </c>
      <c r="C1137" t="s">
        <v>4142</v>
      </c>
      <c r="D1137">
        <v>5648</v>
      </c>
      <c r="E1137" t="str">
        <f>"090232204"</f>
        <v>090232204</v>
      </c>
      <c r="F1137" t="s">
        <v>4153</v>
      </c>
      <c r="G1137" t="s">
        <v>42</v>
      </c>
      <c r="H1137" t="s">
        <v>1404</v>
      </c>
      <c r="I1137" t="s">
        <v>4143</v>
      </c>
      <c r="J1137" t="s">
        <v>134</v>
      </c>
      <c r="K1137" t="str">
        <f>"9283686126"</f>
        <v>9283686126</v>
      </c>
      <c r="L1137" t="str">
        <f>"1103"</f>
        <v>1103</v>
      </c>
      <c r="M1137" t="str">
        <f>"9383685570"</f>
        <v>9383685570</v>
      </c>
      <c r="N1137" t="str">
        <f>""</f>
        <v/>
      </c>
      <c r="O1137" t="s">
        <v>4149</v>
      </c>
      <c r="P1137" t="s">
        <v>4154</v>
      </c>
      <c r="R1137" t="s">
        <v>4147</v>
      </c>
      <c r="S1137" t="s">
        <v>36</v>
      </c>
      <c r="T1137" t="str">
        <f>"85929"</f>
        <v>85929</v>
      </c>
      <c r="U1137" t="str">
        <f>""</f>
        <v/>
      </c>
      <c r="V1137" t="s">
        <v>4154</v>
      </c>
      <c r="X1137" t="s">
        <v>4147</v>
      </c>
      <c r="Y1137" t="s">
        <v>36</v>
      </c>
      <c r="Z1137" t="str">
        <f>"85929"</f>
        <v>85929</v>
      </c>
      <c r="AA1137" t="str">
        <f>""</f>
        <v/>
      </c>
      <c r="AB1137" t="s">
        <v>821</v>
      </c>
    </row>
    <row r="1138" spans="1:28" x14ac:dyDescent="0.25">
      <c r="A1138">
        <v>4400</v>
      </c>
      <c r="B1138" t="str">
        <f>"098745000"</f>
        <v>098745000</v>
      </c>
      <c r="C1138" t="s">
        <v>4155</v>
      </c>
      <c r="D1138">
        <v>0</v>
      </c>
      <c r="E1138" t="str">
        <f>""</f>
        <v/>
      </c>
      <c r="G1138" t="s">
        <v>29</v>
      </c>
      <c r="H1138" t="s">
        <v>1147</v>
      </c>
      <c r="I1138" t="s">
        <v>4156</v>
      </c>
      <c r="J1138" t="s">
        <v>32</v>
      </c>
      <c r="K1138" t="str">
        <f>"9285364222"</f>
        <v>9285364222</v>
      </c>
      <c r="L1138" t="str">
        <f>"1000"</f>
        <v>1000</v>
      </c>
      <c r="M1138" t="str">
        <f>""</f>
        <v/>
      </c>
      <c r="N1138" t="str">
        <f>""</f>
        <v/>
      </c>
      <c r="O1138" t="s">
        <v>4157</v>
      </c>
      <c r="P1138" t="s">
        <v>4158</v>
      </c>
      <c r="R1138" t="s">
        <v>3000</v>
      </c>
      <c r="S1138" t="s">
        <v>36</v>
      </c>
      <c r="T1138" t="str">
        <f>"85939"</f>
        <v>85939</v>
      </c>
      <c r="U1138" t="str">
        <f>""</f>
        <v/>
      </c>
      <c r="V1138" t="s">
        <v>4159</v>
      </c>
      <c r="X1138" t="s">
        <v>3000</v>
      </c>
      <c r="Y1138" t="s">
        <v>36</v>
      </c>
      <c r="Z1138" t="str">
        <f>"85939"</f>
        <v>85939</v>
      </c>
      <c r="AA1138" t="str">
        <f>""</f>
        <v/>
      </c>
      <c r="AB1138" t="s">
        <v>124</v>
      </c>
    </row>
    <row r="1139" spans="1:28" x14ac:dyDescent="0.25">
      <c r="A1139">
        <v>4400</v>
      </c>
      <c r="B1139" t="str">
        <f>"098745000"</f>
        <v>098745000</v>
      </c>
      <c r="C1139" t="s">
        <v>4155</v>
      </c>
      <c r="D1139">
        <v>5652</v>
      </c>
      <c r="E1139" t="str">
        <f>"098745204"</f>
        <v>098745204</v>
      </c>
      <c r="F1139" t="s">
        <v>4160</v>
      </c>
      <c r="G1139" t="s">
        <v>42</v>
      </c>
      <c r="H1139" t="s">
        <v>1147</v>
      </c>
      <c r="I1139" t="s">
        <v>4156</v>
      </c>
      <c r="J1139" t="s">
        <v>4161</v>
      </c>
      <c r="K1139" t="str">
        <f>"9285364222"</f>
        <v>9285364222</v>
      </c>
      <c r="L1139" t="str">
        <f>"1000"</f>
        <v>1000</v>
      </c>
      <c r="M1139" t="str">
        <f>"9285364441"</f>
        <v>9285364441</v>
      </c>
      <c r="N1139" t="str">
        <f>""</f>
        <v/>
      </c>
      <c r="O1139" t="s">
        <v>4157</v>
      </c>
      <c r="P1139" t="s">
        <v>4158</v>
      </c>
      <c r="R1139" t="s">
        <v>3000</v>
      </c>
      <c r="S1139" t="s">
        <v>36</v>
      </c>
      <c r="T1139" t="str">
        <f>"85939"</f>
        <v>85939</v>
      </c>
      <c r="U1139" t="str">
        <f>""</f>
        <v/>
      </c>
      <c r="V1139" t="s">
        <v>4162</v>
      </c>
      <c r="X1139" t="s">
        <v>3000</v>
      </c>
      <c r="Y1139" t="s">
        <v>36</v>
      </c>
      <c r="Z1139" t="str">
        <f>"85939"</f>
        <v>85939</v>
      </c>
      <c r="AA1139" t="str">
        <f>""</f>
        <v/>
      </c>
      <c r="AB1139" t="s">
        <v>124</v>
      </c>
    </row>
    <row r="1140" spans="1:28" x14ac:dyDescent="0.25">
      <c r="A1140">
        <v>4403</v>
      </c>
      <c r="B1140" t="str">
        <f t="shared" ref="B1140:B1171" si="192">"100201000"</f>
        <v>100201000</v>
      </c>
      <c r="C1140" t="s">
        <v>4163</v>
      </c>
      <c r="D1140">
        <v>0</v>
      </c>
      <c r="E1140" t="str">
        <f>""</f>
        <v/>
      </c>
      <c r="G1140" t="s">
        <v>29</v>
      </c>
      <c r="H1140" t="s">
        <v>4164</v>
      </c>
      <c r="I1140" t="s">
        <v>4165</v>
      </c>
      <c r="J1140" t="s">
        <v>4166</v>
      </c>
      <c r="K1140" t="str">
        <f t="shared" ref="K1140:K1171" si="193">"5202254700"</f>
        <v>5202254700</v>
      </c>
      <c r="L1140" t="str">
        <f>""</f>
        <v/>
      </c>
      <c r="M1140" t="str">
        <f t="shared" ref="M1140:M1161" si="194">"5202254867"</f>
        <v>5202254867</v>
      </c>
      <c r="N1140" t="str">
        <f>""</f>
        <v/>
      </c>
      <c r="O1140" t="s">
        <v>4167</v>
      </c>
      <c r="P1140" t="s">
        <v>4168</v>
      </c>
      <c r="R1140" t="s">
        <v>4169</v>
      </c>
      <c r="S1140" t="s">
        <v>36</v>
      </c>
      <c r="T1140" t="str">
        <f t="shared" ref="T1140:T1171" si="195">"85719"</f>
        <v>85719</v>
      </c>
      <c r="U1140" t="str">
        <f>""</f>
        <v/>
      </c>
      <c r="V1140" t="s">
        <v>4170</v>
      </c>
      <c r="X1140" t="s">
        <v>4169</v>
      </c>
      <c r="Y1140" t="s">
        <v>36</v>
      </c>
      <c r="Z1140" t="str">
        <f>"85719"</f>
        <v>85719</v>
      </c>
      <c r="AA1140" t="str">
        <f>""</f>
        <v/>
      </c>
      <c r="AB1140" t="s">
        <v>516</v>
      </c>
    </row>
    <row r="1141" spans="1:28" x14ac:dyDescent="0.25">
      <c r="A1141">
        <v>4403</v>
      </c>
      <c r="B1141" t="str">
        <f t="shared" si="192"/>
        <v>100201000</v>
      </c>
      <c r="C1141" t="s">
        <v>4163</v>
      </c>
      <c r="D1141">
        <v>5659</v>
      </c>
      <c r="E1141" t="str">
        <f>"100201125"</f>
        <v>100201125</v>
      </c>
      <c r="F1141" t="s">
        <v>4171</v>
      </c>
      <c r="G1141" t="s">
        <v>42</v>
      </c>
      <c r="H1141" t="s">
        <v>4164</v>
      </c>
      <c r="I1141" t="s">
        <v>4165</v>
      </c>
      <c r="J1141" t="s">
        <v>4166</v>
      </c>
      <c r="K1141" t="str">
        <f t="shared" si="193"/>
        <v>5202254700</v>
      </c>
      <c r="L1141" t="str">
        <f>""</f>
        <v/>
      </c>
      <c r="M1141" t="str">
        <f t="shared" si="194"/>
        <v>5202254867</v>
      </c>
      <c r="N1141" t="str">
        <f>""</f>
        <v/>
      </c>
      <c r="O1141" t="s">
        <v>4167</v>
      </c>
      <c r="P1141" t="s">
        <v>4172</v>
      </c>
      <c r="R1141" t="s">
        <v>4169</v>
      </c>
      <c r="S1141" t="s">
        <v>36</v>
      </c>
      <c r="T1141" t="str">
        <f t="shared" si="195"/>
        <v>85719</v>
      </c>
      <c r="U1141" t="str">
        <f>""</f>
        <v/>
      </c>
      <c r="V1141" t="s">
        <v>4173</v>
      </c>
      <c r="X1141" t="s">
        <v>4169</v>
      </c>
      <c r="Y1141" t="s">
        <v>36</v>
      </c>
      <c r="Z1141" t="str">
        <f>"85716"</f>
        <v>85716</v>
      </c>
      <c r="AA1141" t="str">
        <f>""</f>
        <v/>
      </c>
      <c r="AB1141" t="s">
        <v>516</v>
      </c>
    </row>
    <row r="1142" spans="1:28" x14ac:dyDescent="0.25">
      <c r="A1142">
        <v>4403</v>
      </c>
      <c r="B1142" t="str">
        <f t="shared" si="192"/>
        <v>100201000</v>
      </c>
      <c r="C1142" t="s">
        <v>4163</v>
      </c>
      <c r="D1142">
        <v>5660</v>
      </c>
      <c r="E1142" t="str">
        <f>"100201128"</f>
        <v>100201128</v>
      </c>
      <c r="F1142" t="s">
        <v>4174</v>
      </c>
      <c r="G1142" t="s">
        <v>42</v>
      </c>
      <c r="H1142" t="s">
        <v>4164</v>
      </c>
      <c r="I1142" t="s">
        <v>4165</v>
      </c>
      <c r="J1142" t="s">
        <v>4166</v>
      </c>
      <c r="K1142" t="str">
        <f t="shared" si="193"/>
        <v>5202254700</v>
      </c>
      <c r="L1142" t="str">
        <f>""</f>
        <v/>
      </c>
      <c r="M1142" t="str">
        <f t="shared" si="194"/>
        <v>5202254867</v>
      </c>
      <c r="N1142" t="str">
        <f>""</f>
        <v/>
      </c>
      <c r="O1142" t="s">
        <v>4167</v>
      </c>
      <c r="P1142" t="s">
        <v>4172</v>
      </c>
      <c r="R1142" t="s">
        <v>4169</v>
      </c>
      <c r="S1142" t="s">
        <v>36</v>
      </c>
      <c r="T1142" t="str">
        <f t="shared" si="195"/>
        <v>85719</v>
      </c>
      <c r="U1142" t="str">
        <f>""</f>
        <v/>
      </c>
      <c r="V1142" t="s">
        <v>4175</v>
      </c>
      <c r="X1142" t="s">
        <v>4169</v>
      </c>
      <c r="Y1142" t="s">
        <v>36</v>
      </c>
      <c r="Z1142" t="str">
        <f>"85715"</f>
        <v>85715</v>
      </c>
      <c r="AA1142" t="str">
        <f>""</f>
        <v/>
      </c>
      <c r="AB1142" t="s">
        <v>516</v>
      </c>
    </row>
    <row r="1143" spans="1:28" x14ac:dyDescent="0.25">
      <c r="A1143">
        <v>4403</v>
      </c>
      <c r="B1143" t="str">
        <f t="shared" si="192"/>
        <v>100201000</v>
      </c>
      <c r="C1143" t="s">
        <v>4163</v>
      </c>
      <c r="D1143">
        <v>5661</v>
      </c>
      <c r="E1143" t="str">
        <f>"100201131"</f>
        <v>100201131</v>
      </c>
      <c r="F1143" t="s">
        <v>4176</v>
      </c>
      <c r="G1143" t="s">
        <v>42</v>
      </c>
      <c r="H1143" t="s">
        <v>4164</v>
      </c>
      <c r="I1143" t="s">
        <v>4165</v>
      </c>
      <c r="J1143" t="s">
        <v>4166</v>
      </c>
      <c r="K1143" t="str">
        <f t="shared" si="193"/>
        <v>5202254700</v>
      </c>
      <c r="L1143" t="str">
        <f>""</f>
        <v/>
      </c>
      <c r="M1143" t="str">
        <f t="shared" si="194"/>
        <v>5202254867</v>
      </c>
      <c r="N1143" t="str">
        <f>""</f>
        <v/>
      </c>
      <c r="O1143" t="s">
        <v>4167</v>
      </c>
      <c r="P1143" t="s">
        <v>4172</v>
      </c>
      <c r="R1143" t="s">
        <v>4169</v>
      </c>
      <c r="S1143" t="s">
        <v>36</v>
      </c>
      <c r="T1143" t="str">
        <f t="shared" si="195"/>
        <v>85719</v>
      </c>
      <c r="U1143" t="str">
        <f>""</f>
        <v/>
      </c>
      <c r="V1143" t="s">
        <v>4177</v>
      </c>
      <c r="X1143" t="s">
        <v>4169</v>
      </c>
      <c r="Y1143" t="s">
        <v>36</v>
      </c>
      <c r="Z1143" t="str">
        <f>"85711"</f>
        <v>85711</v>
      </c>
      <c r="AA1143" t="str">
        <f>""</f>
        <v/>
      </c>
      <c r="AB1143" t="s">
        <v>516</v>
      </c>
    </row>
    <row r="1144" spans="1:28" x14ac:dyDescent="0.25">
      <c r="A1144">
        <v>4403</v>
      </c>
      <c r="B1144" t="str">
        <f t="shared" si="192"/>
        <v>100201000</v>
      </c>
      <c r="C1144" t="s">
        <v>4163</v>
      </c>
      <c r="D1144">
        <v>5663</v>
      </c>
      <c r="E1144" t="str">
        <f>"100201140"</f>
        <v>100201140</v>
      </c>
      <c r="F1144" t="s">
        <v>4178</v>
      </c>
      <c r="G1144" t="s">
        <v>42</v>
      </c>
      <c r="H1144" t="s">
        <v>4164</v>
      </c>
      <c r="I1144" t="s">
        <v>4165</v>
      </c>
      <c r="J1144" t="s">
        <v>4166</v>
      </c>
      <c r="K1144" t="str">
        <f t="shared" si="193"/>
        <v>5202254700</v>
      </c>
      <c r="L1144" t="str">
        <f>""</f>
        <v/>
      </c>
      <c r="M1144" t="str">
        <f t="shared" si="194"/>
        <v>5202254867</v>
      </c>
      <c r="N1144" t="str">
        <f>""</f>
        <v/>
      </c>
      <c r="O1144" t="s">
        <v>4167</v>
      </c>
      <c r="P1144" t="s">
        <v>4172</v>
      </c>
      <c r="R1144" t="s">
        <v>4169</v>
      </c>
      <c r="S1144" t="s">
        <v>36</v>
      </c>
      <c r="T1144" t="str">
        <f t="shared" si="195"/>
        <v>85719</v>
      </c>
      <c r="U1144" t="str">
        <f>""</f>
        <v/>
      </c>
      <c r="V1144" t="s">
        <v>4179</v>
      </c>
      <c r="X1144" t="s">
        <v>4169</v>
      </c>
      <c r="Y1144" t="s">
        <v>36</v>
      </c>
      <c r="Z1144" t="str">
        <f>"85708"</f>
        <v>85708</v>
      </c>
      <c r="AA1144" t="str">
        <f>""</f>
        <v/>
      </c>
      <c r="AB1144" t="s">
        <v>516</v>
      </c>
    </row>
    <row r="1145" spans="1:28" x14ac:dyDescent="0.25">
      <c r="A1145">
        <v>4403</v>
      </c>
      <c r="B1145" t="str">
        <f t="shared" si="192"/>
        <v>100201000</v>
      </c>
      <c r="C1145" t="s">
        <v>4163</v>
      </c>
      <c r="D1145">
        <v>5664</v>
      </c>
      <c r="E1145" t="str">
        <f>"100201143"</f>
        <v>100201143</v>
      </c>
      <c r="F1145" t="s">
        <v>4180</v>
      </c>
      <c r="G1145" t="s">
        <v>42</v>
      </c>
      <c r="H1145" t="s">
        <v>4164</v>
      </c>
      <c r="I1145" t="s">
        <v>4165</v>
      </c>
      <c r="J1145" t="s">
        <v>4166</v>
      </c>
      <c r="K1145" t="str">
        <f t="shared" si="193"/>
        <v>5202254700</v>
      </c>
      <c r="L1145" t="str">
        <f>""</f>
        <v/>
      </c>
      <c r="M1145" t="str">
        <f t="shared" si="194"/>
        <v>5202254867</v>
      </c>
      <c r="N1145" t="str">
        <f>""</f>
        <v/>
      </c>
      <c r="O1145" t="s">
        <v>4167</v>
      </c>
      <c r="P1145" t="s">
        <v>4168</v>
      </c>
      <c r="R1145" t="s">
        <v>4169</v>
      </c>
      <c r="S1145" t="s">
        <v>36</v>
      </c>
      <c r="T1145" t="str">
        <f t="shared" si="195"/>
        <v>85719</v>
      </c>
      <c r="U1145" t="str">
        <f>""</f>
        <v/>
      </c>
      <c r="V1145" t="s">
        <v>4181</v>
      </c>
      <c r="X1145" t="s">
        <v>4169</v>
      </c>
      <c r="Y1145" t="s">
        <v>36</v>
      </c>
      <c r="Z1145" t="str">
        <f>"85713"</f>
        <v>85713</v>
      </c>
      <c r="AA1145" t="str">
        <f>""</f>
        <v/>
      </c>
      <c r="AB1145" t="s">
        <v>516</v>
      </c>
    </row>
    <row r="1146" spans="1:28" x14ac:dyDescent="0.25">
      <c r="A1146">
        <v>4403</v>
      </c>
      <c r="B1146" t="str">
        <f t="shared" si="192"/>
        <v>100201000</v>
      </c>
      <c r="C1146" t="s">
        <v>4163</v>
      </c>
      <c r="D1146">
        <v>5666</v>
      </c>
      <c r="E1146" t="str">
        <f>"100201161"</f>
        <v>100201161</v>
      </c>
      <c r="F1146" t="s">
        <v>4182</v>
      </c>
      <c r="G1146" t="s">
        <v>42</v>
      </c>
      <c r="H1146" t="s">
        <v>4164</v>
      </c>
      <c r="I1146" t="s">
        <v>4165</v>
      </c>
      <c r="J1146" t="s">
        <v>4166</v>
      </c>
      <c r="K1146" t="str">
        <f t="shared" si="193"/>
        <v>5202254700</v>
      </c>
      <c r="L1146" t="str">
        <f>""</f>
        <v/>
      </c>
      <c r="M1146" t="str">
        <f t="shared" si="194"/>
        <v>5202254867</v>
      </c>
      <c r="N1146" t="str">
        <f>""</f>
        <v/>
      </c>
      <c r="O1146" t="s">
        <v>4167</v>
      </c>
      <c r="P1146" t="s">
        <v>4168</v>
      </c>
      <c r="R1146" t="s">
        <v>4169</v>
      </c>
      <c r="S1146" t="s">
        <v>36</v>
      </c>
      <c r="T1146" t="str">
        <f t="shared" si="195"/>
        <v>85719</v>
      </c>
      <c r="U1146" t="str">
        <f>""</f>
        <v/>
      </c>
      <c r="V1146" t="s">
        <v>4183</v>
      </c>
      <c r="X1146" t="s">
        <v>4184</v>
      </c>
      <c r="Y1146" t="s">
        <v>36</v>
      </c>
      <c r="Z1146" t="str">
        <f>"85701"</f>
        <v>85701</v>
      </c>
      <c r="AA1146" t="str">
        <f>""</f>
        <v/>
      </c>
      <c r="AB1146" t="s">
        <v>516</v>
      </c>
    </row>
    <row r="1147" spans="1:28" x14ac:dyDescent="0.25">
      <c r="A1147">
        <v>4403</v>
      </c>
      <c r="B1147" t="str">
        <f t="shared" si="192"/>
        <v>100201000</v>
      </c>
      <c r="C1147" t="s">
        <v>4163</v>
      </c>
      <c r="D1147">
        <v>5667</v>
      </c>
      <c r="E1147" t="str">
        <f>"100201167"</f>
        <v>100201167</v>
      </c>
      <c r="F1147" t="s">
        <v>4185</v>
      </c>
      <c r="G1147" t="s">
        <v>42</v>
      </c>
      <c r="H1147" t="s">
        <v>4164</v>
      </c>
      <c r="I1147" t="s">
        <v>4165</v>
      </c>
      <c r="J1147" t="s">
        <v>4166</v>
      </c>
      <c r="K1147" t="str">
        <f t="shared" si="193"/>
        <v>5202254700</v>
      </c>
      <c r="L1147" t="str">
        <f>""</f>
        <v/>
      </c>
      <c r="M1147" t="str">
        <f t="shared" si="194"/>
        <v>5202254867</v>
      </c>
      <c r="N1147" t="str">
        <f>""</f>
        <v/>
      </c>
      <c r="O1147" t="s">
        <v>4167</v>
      </c>
      <c r="P1147" t="s">
        <v>4168</v>
      </c>
      <c r="R1147" t="s">
        <v>4169</v>
      </c>
      <c r="S1147" t="s">
        <v>36</v>
      </c>
      <c r="T1147" t="str">
        <f t="shared" si="195"/>
        <v>85719</v>
      </c>
      <c r="U1147" t="str">
        <f>""</f>
        <v/>
      </c>
      <c r="V1147" t="s">
        <v>4186</v>
      </c>
      <c r="X1147" t="s">
        <v>4169</v>
      </c>
      <c r="Y1147" t="s">
        <v>36</v>
      </c>
      <c r="Z1147" t="str">
        <f>"85713"</f>
        <v>85713</v>
      </c>
      <c r="AA1147" t="str">
        <f>""</f>
        <v/>
      </c>
      <c r="AB1147" t="s">
        <v>516</v>
      </c>
    </row>
    <row r="1148" spans="1:28" x14ac:dyDescent="0.25">
      <c r="A1148">
        <v>4403</v>
      </c>
      <c r="B1148" t="str">
        <f t="shared" si="192"/>
        <v>100201000</v>
      </c>
      <c r="C1148" t="s">
        <v>4163</v>
      </c>
      <c r="D1148">
        <v>5668</v>
      </c>
      <c r="E1148" t="str">
        <f>"100201170"</f>
        <v>100201170</v>
      </c>
      <c r="F1148" t="s">
        <v>3069</v>
      </c>
      <c r="G1148" t="s">
        <v>42</v>
      </c>
      <c r="H1148" t="s">
        <v>4164</v>
      </c>
      <c r="I1148" t="s">
        <v>4165</v>
      </c>
      <c r="J1148" t="s">
        <v>4166</v>
      </c>
      <c r="K1148" t="str">
        <f t="shared" si="193"/>
        <v>5202254700</v>
      </c>
      <c r="L1148" t="str">
        <f>""</f>
        <v/>
      </c>
      <c r="M1148" t="str">
        <f t="shared" si="194"/>
        <v>5202254867</v>
      </c>
      <c r="N1148" t="str">
        <f>""</f>
        <v/>
      </c>
      <c r="O1148" t="s">
        <v>4167</v>
      </c>
      <c r="P1148" t="s">
        <v>4168</v>
      </c>
      <c r="R1148" t="s">
        <v>4169</v>
      </c>
      <c r="S1148" t="s">
        <v>36</v>
      </c>
      <c r="T1148" t="str">
        <f t="shared" si="195"/>
        <v>85719</v>
      </c>
      <c r="U1148" t="str">
        <f>""</f>
        <v/>
      </c>
      <c r="V1148" t="s">
        <v>4187</v>
      </c>
      <c r="X1148" t="s">
        <v>4169</v>
      </c>
      <c r="Y1148" t="s">
        <v>36</v>
      </c>
      <c r="Z1148" t="str">
        <f>"85749"</f>
        <v>85749</v>
      </c>
      <c r="AA1148" t="str">
        <f>""</f>
        <v/>
      </c>
      <c r="AB1148" t="s">
        <v>516</v>
      </c>
    </row>
    <row r="1149" spans="1:28" x14ac:dyDescent="0.25">
      <c r="A1149">
        <v>4403</v>
      </c>
      <c r="B1149" t="str">
        <f t="shared" si="192"/>
        <v>100201000</v>
      </c>
      <c r="C1149" t="s">
        <v>4163</v>
      </c>
      <c r="D1149">
        <v>5670</v>
      </c>
      <c r="E1149" t="str">
        <f>"100201179"</f>
        <v>100201179</v>
      </c>
      <c r="F1149" t="s">
        <v>4188</v>
      </c>
      <c r="G1149" t="s">
        <v>42</v>
      </c>
      <c r="H1149" t="s">
        <v>4164</v>
      </c>
      <c r="I1149" t="s">
        <v>4165</v>
      </c>
      <c r="J1149" t="s">
        <v>4166</v>
      </c>
      <c r="K1149" t="str">
        <f t="shared" si="193"/>
        <v>5202254700</v>
      </c>
      <c r="L1149" t="str">
        <f>""</f>
        <v/>
      </c>
      <c r="M1149" t="str">
        <f t="shared" si="194"/>
        <v>5202254867</v>
      </c>
      <c r="N1149" t="str">
        <f>""</f>
        <v/>
      </c>
      <c r="O1149" t="s">
        <v>4167</v>
      </c>
      <c r="P1149" t="s">
        <v>4168</v>
      </c>
      <c r="R1149" t="s">
        <v>4169</v>
      </c>
      <c r="S1149" t="s">
        <v>36</v>
      </c>
      <c r="T1149" t="str">
        <f t="shared" si="195"/>
        <v>85719</v>
      </c>
      <c r="U1149" t="str">
        <f>""</f>
        <v/>
      </c>
      <c r="V1149" t="s">
        <v>4189</v>
      </c>
      <c r="X1149" t="s">
        <v>4169</v>
      </c>
      <c r="Y1149" t="s">
        <v>36</v>
      </c>
      <c r="Z1149" t="str">
        <f>"85716"</f>
        <v>85716</v>
      </c>
      <c r="AA1149" t="str">
        <f>""</f>
        <v/>
      </c>
      <c r="AB1149" t="s">
        <v>516</v>
      </c>
    </row>
    <row r="1150" spans="1:28" x14ac:dyDescent="0.25">
      <c r="A1150">
        <v>4403</v>
      </c>
      <c r="B1150" t="str">
        <f t="shared" si="192"/>
        <v>100201000</v>
      </c>
      <c r="C1150" t="s">
        <v>4163</v>
      </c>
      <c r="D1150">
        <v>5671</v>
      </c>
      <c r="E1150" t="str">
        <f>"100201185"</f>
        <v>100201185</v>
      </c>
      <c r="F1150" t="s">
        <v>4190</v>
      </c>
      <c r="G1150" t="s">
        <v>42</v>
      </c>
      <c r="H1150" t="s">
        <v>4164</v>
      </c>
      <c r="I1150" t="s">
        <v>4165</v>
      </c>
      <c r="J1150" t="s">
        <v>4166</v>
      </c>
      <c r="K1150" t="str">
        <f t="shared" si="193"/>
        <v>5202254700</v>
      </c>
      <c r="L1150" t="str">
        <f>""</f>
        <v/>
      </c>
      <c r="M1150" t="str">
        <f t="shared" si="194"/>
        <v>5202254867</v>
      </c>
      <c r="N1150" t="str">
        <f>""</f>
        <v/>
      </c>
      <c r="O1150" t="s">
        <v>4167</v>
      </c>
      <c r="P1150" t="s">
        <v>4172</v>
      </c>
      <c r="R1150" t="s">
        <v>4169</v>
      </c>
      <c r="S1150" t="s">
        <v>36</v>
      </c>
      <c r="T1150" t="str">
        <f t="shared" si="195"/>
        <v>85719</v>
      </c>
      <c r="U1150" t="str">
        <f>""</f>
        <v/>
      </c>
      <c r="V1150" t="s">
        <v>4191</v>
      </c>
      <c r="X1150" t="s">
        <v>4169</v>
      </c>
      <c r="Y1150" t="s">
        <v>36</v>
      </c>
      <c r="Z1150" t="str">
        <f>"85712"</f>
        <v>85712</v>
      </c>
      <c r="AA1150" t="str">
        <f>""</f>
        <v/>
      </c>
      <c r="AB1150" t="s">
        <v>516</v>
      </c>
    </row>
    <row r="1151" spans="1:28" x14ac:dyDescent="0.25">
      <c r="A1151">
        <v>4403</v>
      </c>
      <c r="B1151" t="str">
        <f t="shared" si="192"/>
        <v>100201000</v>
      </c>
      <c r="C1151" t="s">
        <v>4163</v>
      </c>
      <c r="D1151">
        <v>5672</v>
      </c>
      <c r="E1151" t="str">
        <f>"100201191"</f>
        <v>100201191</v>
      </c>
      <c r="F1151" t="s">
        <v>4192</v>
      </c>
      <c r="G1151" t="s">
        <v>42</v>
      </c>
      <c r="H1151" t="s">
        <v>4164</v>
      </c>
      <c r="I1151" t="s">
        <v>4165</v>
      </c>
      <c r="J1151" t="s">
        <v>4166</v>
      </c>
      <c r="K1151" t="str">
        <f t="shared" si="193"/>
        <v>5202254700</v>
      </c>
      <c r="L1151" t="str">
        <f>""</f>
        <v/>
      </c>
      <c r="M1151" t="str">
        <f t="shared" si="194"/>
        <v>5202254867</v>
      </c>
      <c r="N1151" t="str">
        <f>""</f>
        <v/>
      </c>
      <c r="O1151" t="s">
        <v>4167</v>
      </c>
      <c r="P1151" t="s">
        <v>4168</v>
      </c>
      <c r="R1151" t="s">
        <v>4169</v>
      </c>
      <c r="S1151" t="s">
        <v>36</v>
      </c>
      <c r="T1151" t="str">
        <f t="shared" si="195"/>
        <v>85719</v>
      </c>
      <c r="U1151" t="str">
        <f>""</f>
        <v/>
      </c>
      <c r="V1151" t="s">
        <v>4193</v>
      </c>
      <c r="X1151" t="s">
        <v>4169</v>
      </c>
      <c r="Y1151" t="s">
        <v>36</v>
      </c>
      <c r="Z1151" t="str">
        <f>"85705"</f>
        <v>85705</v>
      </c>
      <c r="AA1151" t="str">
        <f>""</f>
        <v/>
      </c>
      <c r="AB1151" t="s">
        <v>516</v>
      </c>
    </row>
    <row r="1152" spans="1:28" x14ac:dyDescent="0.25">
      <c r="A1152">
        <v>4403</v>
      </c>
      <c r="B1152" t="str">
        <f t="shared" si="192"/>
        <v>100201000</v>
      </c>
      <c r="C1152" t="s">
        <v>4163</v>
      </c>
      <c r="D1152">
        <v>5673</v>
      </c>
      <c r="E1152" t="str">
        <f>"100201197"</f>
        <v>100201197</v>
      </c>
      <c r="F1152" t="s">
        <v>4194</v>
      </c>
      <c r="G1152" t="s">
        <v>42</v>
      </c>
      <c r="H1152" t="s">
        <v>4164</v>
      </c>
      <c r="I1152" t="s">
        <v>4165</v>
      </c>
      <c r="J1152" t="s">
        <v>4166</v>
      </c>
      <c r="K1152" t="str">
        <f t="shared" si="193"/>
        <v>5202254700</v>
      </c>
      <c r="L1152" t="str">
        <f>""</f>
        <v/>
      </c>
      <c r="M1152" t="str">
        <f t="shared" si="194"/>
        <v>5202254867</v>
      </c>
      <c r="N1152" t="str">
        <f>""</f>
        <v/>
      </c>
      <c r="O1152" t="s">
        <v>4167</v>
      </c>
      <c r="P1152" t="s">
        <v>4172</v>
      </c>
      <c r="R1152" t="s">
        <v>4169</v>
      </c>
      <c r="S1152" t="s">
        <v>36</v>
      </c>
      <c r="T1152" t="str">
        <f t="shared" si="195"/>
        <v>85719</v>
      </c>
      <c r="U1152" t="str">
        <f>""</f>
        <v/>
      </c>
      <c r="V1152" t="s">
        <v>4195</v>
      </c>
      <c r="X1152" t="s">
        <v>4169</v>
      </c>
      <c r="Y1152" t="s">
        <v>36</v>
      </c>
      <c r="Z1152" t="str">
        <f>"85710"</f>
        <v>85710</v>
      </c>
      <c r="AA1152" t="str">
        <f>""</f>
        <v/>
      </c>
      <c r="AB1152" t="s">
        <v>516</v>
      </c>
    </row>
    <row r="1153" spans="1:28" x14ac:dyDescent="0.25">
      <c r="A1153">
        <v>4403</v>
      </c>
      <c r="B1153" t="str">
        <f t="shared" si="192"/>
        <v>100201000</v>
      </c>
      <c r="C1153" t="s">
        <v>4163</v>
      </c>
      <c r="D1153">
        <v>5674</v>
      </c>
      <c r="E1153" t="str">
        <f>"100201203"</f>
        <v>100201203</v>
      </c>
      <c r="F1153" t="s">
        <v>4196</v>
      </c>
      <c r="G1153" t="s">
        <v>42</v>
      </c>
      <c r="H1153" t="s">
        <v>4164</v>
      </c>
      <c r="I1153" t="s">
        <v>4165</v>
      </c>
      <c r="J1153" t="s">
        <v>4166</v>
      </c>
      <c r="K1153" t="str">
        <f t="shared" si="193"/>
        <v>5202254700</v>
      </c>
      <c r="L1153" t="str">
        <f>""</f>
        <v/>
      </c>
      <c r="M1153" t="str">
        <f t="shared" si="194"/>
        <v>5202254867</v>
      </c>
      <c r="N1153" t="str">
        <f>""</f>
        <v/>
      </c>
      <c r="O1153" t="s">
        <v>4167</v>
      </c>
      <c r="P1153" t="s">
        <v>4172</v>
      </c>
      <c r="R1153" t="s">
        <v>4169</v>
      </c>
      <c r="S1153" t="s">
        <v>36</v>
      </c>
      <c r="T1153" t="str">
        <f t="shared" si="195"/>
        <v>85719</v>
      </c>
      <c r="U1153" t="str">
        <f>""</f>
        <v/>
      </c>
      <c r="V1153" t="s">
        <v>4197</v>
      </c>
      <c r="X1153" t="s">
        <v>4169</v>
      </c>
      <c r="Y1153" t="s">
        <v>36</v>
      </c>
      <c r="Z1153" t="str">
        <f>"85701"</f>
        <v>85701</v>
      </c>
      <c r="AA1153" t="str">
        <f>""</f>
        <v/>
      </c>
      <c r="AB1153" t="s">
        <v>516</v>
      </c>
    </row>
    <row r="1154" spans="1:28" x14ac:dyDescent="0.25">
      <c r="A1154">
        <v>4403</v>
      </c>
      <c r="B1154" t="str">
        <f t="shared" si="192"/>
        <v>100201000</v>
      </c>
      <c r="C1154" t="s">
        <v>4163</v>
      </c>
      <c r="D1154">
        <v>5676</v>
      </c>
      <c r="E1154" t="str">
        <f>"100201211"</f>
        <v>100201211</v>
      </c>
      <c r="F1154" t="s">
        <v>4198</v>
      </c>
      <c r="G1154" t="s">
        <v>42</v>
      </c>
      <c r="H1154" t="s">
        <v>4164</v>
      </c>
      <c r="I1154" t="s">
        <v>4165</v>
      </c>
      <c r="J1154" t="s">
        <v>4166</v>
      </c>
      <c r="K1154" t="str">
        <f t="shared" si="193"/>
        <v>5202254700</v>
      </c>
      <c r="L1154" t="str">
        <f>""</f>
        <v/>
      </c>
      <c r="M1154" t="str">
        <f t="shared" si="194"/>
        <v>5202254867</v>
      </c>
      <c r="N1154" t="str">
        <f>""</f>
        <v/>
      </c>
      <c r="O1154" t="s">
        <v>4167</v>
      </c>
      <c r="P1154" t="s">
        <v>4172</v>
      </c>
      <c r="R1154" t="s">
        <v>4169</v>
      </c>
      <c r="S1154" t="s">
        <v>36</v>
      </c>
      <c r="T1154" t="str">
        <f t="shared" si="195"/>
        <v>85719</v>
      </c>
      <c r="U1154" t="str">
        <f>""</f>
        <v/>
      </c>
      <c r="V1154" t="s">
        <v>4199</v>
      </c>
      <c r="X1154" t="s">
        <v>4169</v>
      </c>
      <c r="Y1154" t="s">
        <v>36</v>
      </c>
      <c r="Z1154" t="str">
        <f>"85748"</f>
        <v>85748</v>
      </c>
      <c r="AA1154" t="str">
        <f>""</f>
        <v/>
      </c>
      <c r="AB1154" t="s">
        <v>516</v>
      </c>
    </row>
    <row r="1155" spans="1:28" x14ac:dyDescent="0.25">
      <c r="A1155">
        <v>4403</v>
      </c>
      <c r="B1155" t="str">
        <f t="shared" si="192"/>
        <v>100201000</v>
      </c>
      <c r="C1155" t="s">
        <v>4163</v>
      </c>
      <c r="D1155">
        <v>5677</v>
      </c>
      <c r="E1155" t="str">
        <f>"100201215"</f>
        <v>100201215</v>
      </c>
      <c r="F1155" t="s">
        <v>4200</v>
      </c>
      <c r="G1155" t="s">
        <v>42</v>
      </c>
      <c r="H1155" t="s">
        <v>4164</v>
      </c>
      <c r="I1155" t="s">
        <v>4165</v>
      </c>
      <c r="J1155" t="s">
        <v>4166</v>
      </c>
      <c r="K1155" t="str">
        <f t="shared" si="193"/>
        <v>5202254700</v>
      </c>
      <c r="L1155" t="str">
        <f>""</f>
        <v/>
      </c>
      <c r="M1155" t="str">
        <f t="shared" si="194"/>
        <v>5202254867</v>
      </c>
      <c r="N1155" t="str">
        <f>""</f>
        <v/>
      </c>
      <c r="O1155" t="s">
        <v>4167</v>
      </c>
      <c r="P1155" t="s">
        <v>4172</v>
      </c>
      <c r="R1155" t="s">
        <v>4169</v>
      </c>
      <c r="S1155" t="s">
        <v>36</v>
      </c>
      <c r="T1155" t="str">
        <f t="shared" si="195"/>
        <v>85719</v>
      </c>
      <c r="U1155" t="str">
        <f>""</f>
        <v/>
      </c>
      <c r="V1155" t="s">
        <v>4201</v>
      </c>
      <c r="X1155" t="s">
        <v>4169</v>
      </c>
      <c r="Y1155" t="s">
        <v>36</v>
      </c>
      <c r="Z1155" t="str">
        <f>"85730"</f>
        <v>85730</v>
      </c>
      <c r="AA1155" t="str">
        <f>""</f>
        <v/>
      </c>
      <c r="AB1155" t="s">
        <v>516</v>
      </c>
    </row>
    <row r="1156" spans="1:28" x14ac:dyDescent="0.25">
      <c r="A1156">
        <v>4403</v>
      </c>
      <c r="B1156" t="str">
        <f t="shared" si="192"/>
        <v>100201000</v>
      </c>
      <c r="C1156" t="s">
        <v>4163</v>
      </c>
      <c r="D1156">
        <v>5678</v>
      </c>
      <c r="E1156" t="str">
        <f>"100201218"</f>
        <v>100201218</v>
      </c>
      <c r="F1156" t="s">
        <v>4202</v>
      </c>
      <c r="G1156" t="s">
        <v>42</v>
      </c>
      <c r="H1156" t="s">
        <v>4164</v>
      </c>
      <c r="I1156" t="s">
        <v>4165</v>
      </c>
      <c r="J1156" t="s">
        <v>4166</v>
      </c>
      <c r="K1156" t="str">
        <f t="shared" si="193"/>
        <v>5202254700</v>
      </c>
      <c r="L1156" t="str">
        <f>""</f>
        <v/>
      </c>
      <c r="M1156" t="str">
        <f t="shared" si="194"/>
        <v>5202254867</v>
      </c>
      <c r="N1156" t="str">
        <f>""</f>
        <v/>
      </c>
      <c r="O1156" t="s">
        <v>4167</v>
      </c>
      <c r="P1156" t="s">
        <v>4172</v>
      </c>
      <c r="R1156" t="s">
        <v>4169</v>
      </c>
      <c r="S1156" t="s">
        <v>36</v>
      </c>
      <c r="T1156" t="str">
        <f t="shared" si="195"/>
        <v>85719</v>
      </c>
      <c r="U1156" t="str">
        <f>""</f>
        <v/>
      </c>
      <c r="V1156" t="s">
        <v>4203</v>
      </c>
      <c r="X1156" t="s">
        <v>4169</v>
      </c>
      <c r="Y1156" t="s">
        <v>36</v>
      </c>
      <c r="Z1156" t="str">
        <f>"85730"</f>
        <v>85730</v>
      </c>
      <c r="AA1156" t="str">
        <f>""</f>
        <v/>
      </c>
      <c r="AB1156" t="s">
        <v>516</v>
      </c>
    </row>
    <row r="1157" spans="1:28" x14ac:dyDescent="0.25">
      <c r="A1157">
        <v>4403</v>
      </c>
      <c r="B1157" t="str">
        <f t="shared" si="192"/>
        <v>100201000</v>
      </c>
      <c r="C1157" t="s">
        <v>4163</v>
      </c>
      <c r="D1157">
        <v>5680</v>
      </c>
      <c r="E1157" t="str">
        <f>"100201225"</f>
        <v>100201225</v>
      </c>
      <c r="F1157" t="s">
        <v>4204</v>
      </c>
      <c r="G1157" t="s">
        <v>42</v>
      </c>
      <c r="H1157" t="s">
        <v>4164</v>
      </c>
      <c r="I1157" t="s">
        <v>4165</v>
      </c>
      <c r="J1157" t="s">
        <v>4166</v>
      </c>
      <c r="K1157" t="str">
        <f t="shared" si="193"/>
        <v>5202254700</v>
      </c>
      <c r="L1157" t="str">
        <f>""</f>
        <v/>
      </c>
      <c r="M1157" t="str">
        <f t="shared" si="194"/>
        <v>5202254867</v>
      </c>
      <c r="N1157" t="str">
        <f>""</f>
        <v/>
      </c>
      <c r="O1157" t="s">
        <v>4167</v>
      </c>
      <c r="P1157" t="s">
        <v>4172</v>
      </c>
      <c r="R1157" t="s">
        <v>4169</v>
      </c>
      <c r="S1157" t="s">
        <v>36</v>
      </c>
      <c r="T1157" t="str">
        <f t="shared" si="195"/>
        <v>85719</v>
      </c>
      <c r="U1157" t="str">
        <f>""</f>
        <v/>
      </c>
      <c r="V1157" t="s">
        <v>4205</v>
      </c>
      <c r="X1157" t="s">
        <v>4169</v>
      </c>
      <c r="Y1157" t="s">
        <v>36</v>
      </c>
      <c r="Z1157" t="str">
        <f>"85715"</f>
        <v>85715</v>
      </c>
      <c r="AA1157" t="str">
        <f>""</f>
        <v/>
      </c>
      <c r="AB1157" t="s">
        <v>516</v>
      </c>
    </row>
    <row r="1158" spans="1:28" x14ac:dyDescent="0.25">
      <c r="A1158">
        <v>4403</v>
      </c>
      <c r="B1158" t="str">
        <f t="shared" si="192"/>
        <v>100201000</v>
      </c>
      <c r="C1158" t="s">
        <v>4163</v>
      </c>
      <c r="D1158">
        <v>5681</v>
      </c>
      <c r="E1158" t="str">
        <f>"100201228"</f>
        <v>100201228</v>
      </c>
      <c r="F1158" t="s">
        <v>4206</v>
      </c>
      <c r="G1158" t="s">
        <v>42</v>
      </c>
      <c r="H1158" t="s">
        <v>4164</v>
      </c>
      <c r="I1158" t="s">
        <v>4165</v>
      </c>
      <c r="J1158" t="s">
        <v>4166</v>
      </c>
      <c r="K1158" t="str">
        <f t="shared" si="193"/>
        <v>5202254700</v>
      </c>
      <c r="L1158" t="str">
        <f>""</f>
        <v/>
      </c>
      <c r="M1158" t="str">
        <f t="shared" si="194"/>
        <v>5202254867</v>
      </c>
      <c r="N1158" t="str">
        <f>""</f>
        <v/>
      </c>
      <c r="O1158" t="s">
        <v>4167</v>
      </c>
      <c r="P1158" t="s">
        <v>4172</v>
      </c>
      <c r="R1158" t="s">
        <v>4169</v>
      </c>
      <c r="S1158" t="s">
        <v>36</v>
      </c>
      <c r="T1158" t="str">
        <f t="shared" si="195"/>
        <v>85719</v>
      </c>
      <c r="U1158" t="str">
        <f>""</f>
        <v/>
      </c>
      <c r="V1158" t="s">
        <v>4207</v>
      </c>
      <c r="X1158" t="s">
        <v>4169</v>
      </c>
      <c r="Y1158" t="s">
        <v>36</v>
      </c>
      <c r="Z1158" t="str">
        <f>"85710"</f>
        <v>85710</v>
      </c>
      <c r="AA1158" t="str">
        <f>""</f>
        <v/>
      </c>
      <c r="AB1158" t="s">
        <v>516</v>
      </c>
    </row>
    <row r="1159" spans="1:28" x14ac:dyDescent="0.25">
      <c r="A1159">
        <v>4403</v>
      </c>
      <c r="B1159" t="str">
        <f t="shared" si="192"/>
        <v>100201000</v>
      </c>
      <c r="C1159" t="s">
        <v>4163</v>
      </c>
      <c r="D1159">
        <v>5683</v>
      </c>
      <c r="E1159" t="str">
        <f>"100201231"</f>
        <v>100201231</v>
      </c>
      <c r="F1159" t="s">
        <v>4208</v>
      </c>
      <c r="G1159" t="s">
        <v>42</v>
      </c>
      <c r="H1159" t="s">
        <v>4164</v>
      </c>
      <c r="I1159" t="s">
        <v>4165</v>
      </c>
      <c r="J1159" t="s">
        <v>4166</v>
      </c>
      <c r="K1159" t="str">
        <f t="shared" si="193"/>
        <v>5202254700</v>
      </c>
      <c r="L1159" t="str">
        <f>""</f>
        <v/>
      </c>
      <c r="M1159" t="str">
        <f t="shared" si="194"/>
        <v>5202254867</v>
      </c>
      <c r="N1159" t="str">
        <f>""</f>
        <v/>
      </c>
      <c r="O1159" t="s">
        <v>4167</v>
      </c>
      <c r="P1159" t="s">
        <v>4168</v>
      </c>
      <c r="R1159" t="s">
        <v>4169</v>
      </c>
      <c r="S1159" t="s">
        <v>36</v>
      </c>
      <c r="T1159" t="str">
        <f t="shared" si="195"/>
        <v>85719</v>
      </c>
      <c r="U1159" t="str">
        <f>""</f>
        <v/>
      </c>
      <c r="V1159" t="s">
        <v>4209</v>
      </c>
      <c r="X1159" t="s">
        <v>4169</v>
      </c>
      <c r="Y1159" t="s">
        <v>36</v>
      </c>
      <c r="Z1159" t="str">
        <f>"85746"</f>
        <v>85746</v>
      </c>
      <c r="AA1159" t="str">
        <f>""</f>
        <v/>
      </c>
      <c r="AB1159" t="s">
        <v>516</v>
      </c>
    </row>
    <row r="1160" spans="1:28" x14ac:dyDescent="0.25">
      <c r="A1160">
        <v>4403</v>
      </c>
      <c r="B1160" t="str">
        <f t="shared" si="192"/>
        <v>100201000</v>
      </c>
      <c r="C1160" t="s">
        <v>4163</v>
      </c>
      <c r="D1160">
        <v>5684</v>
      </c>
      <c r="E1160" t="str">
        <f>"100201233"</f>
        <v>100201233</v>
      </c>
      <c r="F1160" t="s">
        <v>4210</v>
      </c>
      <c r="G1160" t="s">
        <v>42</v>
      </c>
      <c r="H1160" t="s">
        <v>4164</v>
      </c>
      <c r="I1160" t="s">
        <v>4165</v>
      </c>
      <c r="J1160" t="s">
        <v>4166</v>
      </c>
      <c r="K1160" t="str">
        <f t="shared" si="193"/>
        <v>5202254700</v>
      </c>
      <c r="L1160" t="str">
        <f>""</f>
        <v/>
      </c>
      <c r="M1160" t="str">
        <f t="shared" si="194"/>
        <v>5202254867</v>
      </c>
      <c r="N1160" t="str">
        <f>""</f>
        <v/>
      </c>
      <c r="O1160" t="s">
        <v>4167</v>
      </c>
      <c r="P1160" t="s">
        <v>4172</v>
      </c>
      <c r="R1160" t="s">
        <v>4169</v>
      </c>
      <c r="S1160" t="s">
        <v>36</v>
      </c>
      <c r="T1160" t="str">
        <f t="shared" si="195"/>
        <v>85719</v>
      </c>
      <c r="U1160" t="str">
        <f>""</f>
        <v/>
      </c>
      <c r="V1160" t="s">
        <v>4211</v>
      </c>
      <c r="X1160" t="s">
        <v>4169</v>
      </c>
      <c r="Y1160" t="s">
        <v>36</v>
      </c>
      <c r="Z1160" t="str">
        <f>"85713"</f>
        <v>85713</v>
      </c>
      <c r="AA1160" t="str">
        <f>""</f>
        <v/>
      </c>
      <c r="AB1160" t="s">
        <v>516</v>
      </c>
    </row>
    <row r="1161" spans="1:28" x14ac:dyDescent="0.25">
      <c r="A1161">
        <v>4403</v>
      </c>
      <c r="B1161" t="str">
        <f t="shared" si="192"/>
        <v>100201000</v>
      </c>
      <c r="C1161" t="s">
        <v>4163</v>
      </c>
      <c r="D1161">
        <v>5685</v>
      </c>
      <c r="E1161" t="str">
        <f>"100201238"</f>
        <v>100201238</v>
      </c>
      <c r="F1161" t="s">
        <v>4212</v>
      </c>
      <c r="G1161" t="s">
        <v>42</v>
      </c>
      <c r="H1161" t="s">
        <v>4164</v>
      </c>
      <c r="I1161" t="s">
        <v>4165</v>
      </c>
      <c r="J1161" t="s">
        <v>4166</v>
      </c>
      <c r="K1161" t="str">
        <f t="shared" si="193"/>
        <v>5202254700</v>
      </c>
      <c r="L1161" t="str">
        <f>""</f>
        <v/>
      </c>
      <c r="M1161" t="str">
        <f t="shared" si="194"/>
        <v>5202254867</v>
      </c>
      <c r="N1161" t="str">
        <f>""</f>
        <v/>
      </c>
      <c r="O1161" t="s">
        <v>4167</v>
      </c>
      <c r="P1161" t="s">
        <v>4172</v>
      </c>
      <c r="R1161" t="s">
        <v>4169</v>
      </c>
      <c r="S1161" t="s">
        <v>36</v>
      </c>
      <c r="T1161" t="str">
        <f t="shared" si="195"/>
        <v>85719</v>
      </c>
      <c r="U1161" t="str">
        <f>""</f>
        <v/>
      </c>
      <c r="V1161" t="s">
        <v>4213</v>
      </c>
      <c r="X1161" t="s">
        <v>4169</v>
      </c>
      <c r="Y1161" t="s">
        <v>36</v>
      </c>
      <c r="Z1161" t="str">
        <f>"85710"</f>
        <v>85710</v>
      </c>
      <c r="AA1161" t="str">
        <f>""</f>
        <v/>
      </c>
      <c r="AB1161" t="s">
        <v>516</v>
      </c>
    </row>
    <row r="1162" spans="1:28" x14ac:dyDescent="0.25">
      <c r="A1162">
        <v>4403</v>
      </c>
      <c r="B1162" t="str">
        <f t="shared" si="192"/>
        <v>100201000</v>
      </c>
      <c r="C1162" t="s">
        <v>4163</v>
      </c>
      <c r="D1162">
        <v>5686</v>
      </c>
      <c r="E1162" t="str">
        <f>"100201239"</f>
        <v>100201239</v>
      </c>
      <c r="F1162" t="s">
        <v>4214</v>
      </c>
      <c r="G1162" t="s">
        <v>42</v>
      </c>
      <c r="H1162" t="s">
        <v>4164</v>
      </c>
      <c r="I1162" t="s">
        <v>4165</v>
      </c>
      <c r="J1162" t="s">
        <v>4166</v>
      </c>
      <c r="K1162" t="str">
        <f t="shared" si="193"/>
        <v>5202254700</v>
      </c>
      <c r="L1162" t="str">
        <f>""</f>
        <v/>
      </c>
      <c r="M1162" t="str">
        <f>"5202254786"</f>
        <v>5202254786</v>
      </c>
      <c r="N1162" t="str">
        <f>""</f>
        <v/>
      </c>
      <c r="O1162" t="s">
        <v>4167</v>
      </c>
      <c r="P1162" t="s">
        <v>4168</v>
      </c>
      <c r="R1162" t="s">
        <v>4169</v>
      </c>
      <c r="S1162" t="s">
        <v>36</v>
      </c>
      <c r="T1162" t="str">
        <f t="shared" si="195"/>
        <v>85719</v>
      </c>
      <c r="U1162" t="str">
        <f>""</f>
        <v/>
      </c>
      <c r="V1162" t="s">
        <v>4215</v>
      </c>
      <c r="X1162" t="s">
        <v>4169</v>
      </c>
      <c r="Y1162" t="s">
        <v>36</v>
      </c>
      <c r="Z1162" t="str">
        <f>"85713"</f>
        <v>85713</v>
      </c>
      <c r="AA1162" t="str">
        <f>""</f>
        <v/>
      </c>
      <c r="AB1162" t="s">
        <v>516</v>
      </c>
    </row>
    <row r="1163" spans="1:28" x14ac:dyDescent="0.25">
      <c r="A1163">
        <v>4403</v>
      </c>
      <c r="B1163" t="str">
        <f t="shared" si="192"/>
        <v>100201000</v>
      </c>
      <c r="C1163" t="s">
        <v>4163</v>
      </c>
      <c r="D1163">
        <v>5687</v>
      </c>
      <c r="E1163" t="str">
        <f>"100201245"</f>
        <v>100201245</v>
      </c>
      <c r="F1163" t="s">
        <v>4216</v>
      </c>
      <c r="G1163" t="s">
        <v>42</v>
      </c>
      <c r="H1163" t="s">
        <v>4164</v>
      </c>
      <c r="I1163" t="s">
        <v>4165</v>
      </c>
      <c r="J1163" t="s">
        <v>4166</v>
      </c>
      <c r="K1163" t="str">
        <f t="shared" si="193"/>
        <v>5202254700</v>
      </c>
      <c r="L1163" t="str">
        <f>""</f>
        <v/>
      </c>
      <c r="M1163" t="str">
        <f>"5202254867"</f>
        <v>5202254867</v>
      </c>
      <c r="N1163" t="str">
        <f>""</f>
        <v/>
      </c>
      <c r="O1163" t="s">
        <v>4167</v>
      </c>
      <c r="P1163" t="s">
        <v>4172</v>
      </c>
      <c r="R1163" t="s">
        <v>4169</v>
      </c>
      <c r="S1163" t="s">
        <v>36</v>
      </c>
      <c r="T1163" t="str">
        <f t="shared" si="195"/>
        <v>85719</v>
      </c>
      <c r="U1163" t="str">
        <f>""</f>
        <v/>
      </c>
      <c r="V1163" t="s">
        <v>4217</v>
      </c>
      <c r="X1163" t="s">
        <v>4169</v>
      </c>
      <c r="Y1163" t="s">
        <v>36</v>
      </c>
      <c r="Z1163" t="str">
        <f>"85711"</f>
        <v>85711</v>
      </c>
      <c r="AA1163" t="str">
        <f>""</f>
        <v/>
      </c>
      <c r="AB1163" t="s">
        <v>516</v>
      </c>
    </row>
    <row r="1164" spans="1:28" x14ac:dyDescent="0.25">
      <c r="A1164">
        <v>4403</v>
      </c>
      <c r="B1164" t="str">
        <f t="shared" si="192"/>
        <v>100201000</v>
      </c>
      <c r="C1164" t="s">
        <v>4163</v>
      </c>
      <c r="D1164">
        <v>5688</v>
      </c>
      <c r="E1164" t="str">
        <f>"100201251"</f>
        <v>100201251</v>
      </c>
      <c r="F1164" t="s">
        <v>4218</v>
      </c>
      <c r="G1164" t="s">
        <v>42</v>
      </c>
      <c r="H1164" t="s">
        <v>4164</v>
      </c>
      <c r="I1164" t="s">
        <v>4165</v>
      </c>
      <c r="J1164" t="s">
        <v>4166</v>
      </c>
      <c r="K1164" t="str">
        <f t="shared" si="193"/>
        <v>5202254700</v>
      </c>
      <c r="L1164" t="str">
        <f>""</f>
        <v/>
      </c>
      <c r="M1164" t="str">
        <f>"5202254867"</f>
        <v>5202254867</v>
      </c>
      <c r="N1164" t="str">
        <f>""</f>
        <v/>
      </c>
      <c r="O1164" t="s">
        <v>4167</v>
      </c>
      <c r="P1164" t="s">
        <v>4168</v>
      </c>
      <c r="R1164" t="s">
        <v>4169</v>
      </c>
      <c r="S1164" t="s">
        <v>36</v>
      </c>
      <c r="T1164" t="str">
        <f t="shared" si="195"/>
        <v>85719</v>
      </c>
      <c r="U1164" t="str">
        <f>""</f>
        <v/>
      </c>
      <c r="V1164" t="s">
        <v>4219</v>
      </c>
      <c r="X1164" t="s">
        <v>4169</v>
      </c>
      <c r="Y1164" t="s">
        <v>36</v>
      </c>
      <c r="Z1164" t="str">
        <f>"85719"</f>
        <v>85719</v>
      </c>
      <c r="AA1164" t="str">
        <f>""</f>
        <v/>
      </c>
      <c r="AB1164" t="s">
        <v>516</v>
      </c>
    </row>
    <row r="1165" spans="1:28" x14ac:dyDescent="0.25">
      <c r="A1165">
        <v>4403</v>
      </c>
      <c r="B1165" t="str">
        <f t="shared" si="192"/>
        <v>100201000</v>
      </c>
      <c r="C1165" t="s">
        <v>4163</v>
      </c>
      <c r="D1165">
        <v>5689</v>
      </c>
      <c r="E1165" t="str">
        <f>"100201257"</f>
        <v>100201257</v>
      </c>
      <c r="F1165" t="s">
        <v>4220</v>
      </c>
      <c r="G1165" t="s">
        <v>42</v>
      </c>
      <c r="H1165" t="s">
        <v>4164</v>
      </c>
      <c r="I1165" t="s">
        <v>4165</v>
      </c>
      <c r="J1165" t="s">
        <v>4166</v>
      </c>
      <c r="K1165" t="str">
        <f t="shared" si="193"/>
        <v>5202254700</v>
      </c>
      <c r="L1165" t="str">
        <f>""</f>
        <v/>
      </c>
      <c r="M1165" t="str">
        <f>"5202254867"</f>
        <v>5202254867</v>
      </c>
      <c r="N1165" t="str">
        <f>""</f>
        <v/>
      </c>
      <c r="O1165" t="s">
        <v>4167</v>
      </c>
      <c r="P1165" t="s">
        <v>4168</v>
      </c>
      <c r="R1165" t="s">
        <v>4169</v>
      </c>
      <c r="S1165" t="s">
        <v>36</v>
      </c>
      <c r="T1165" t="str">
        <f t="shared" si="195"/>
        <v>85719</v>
      </c>
      <c r="U1165" t="str">
        <f>""</f>
        <v/>
      </c>
      <c r="V1165" t="s">
        <v>4221</v>
      </c>
      <c r="X1165" t="s">
        <v>4169</v>
      </c>
      <c r="Y1165" t="s">
        <v>36</v>
      </c>
      <c r="Z1165" t="str">
        <f>"85719"</f>
        <v>85719</v>
      </c>
      <c r="AA1165" t="str">
        <f>""</f>
        <v/>
      </c>
      <c r="AB1165" t="s">
        <v>516</v>
      </c>
    </row>
    <row r="1166" spans="1:28" x14ac:dyDescent="0.25">
      <c r="A1166">
        <v>4403</v>
      </c>
      <c r="B1166" t="str">
        <f t="shared" si="192"/>
        <v>100201000</v>
      </c>
      <c r="C1166" t="s">
        <v>4163</v>
      </c>
      <c r="D1166">
        <v>5691</v>
      </c>
      <c r="E1166" t="str">
        <f>"100201266"</f>
        <v>100201266</v>
      </c>
      <c r="F1166" t="s">
        <v>4222</v>
      </c>
      <c r="G1166" t="s">
        <v>42</v>
      </c>
      <c r="H1166" t="s">
        <v>4164</v>
      </c>
      <c r="I1166" t="s">
        <v>4165</v>
      </c>
      <c r="J1166" t="s">
        <v>4166</v>
      </c>
      <c r="K1166" t="str">
        <f t="shared" si="193"/>
        <v>5202254700</v>
      </c>
      <c r="L1166" t="str">
        <f>""</f>
        <v/>
      </c>
      <c r="M1166" t="str">
        <f>"5202254867"</f>
        <v>5202254867</v>
      </c>
      <c r="N1166" t="str">
        <f>""</f>
        <v/>
      </c>
      <c r="O1166" t="s">
        <v>4167</v>
      </c>
      <c r="P1166" t="s">
        <v>4172</v>
      </c>
      <c r="R1166" t="s">
        <v>4169</v>
      </c>
      <c r="S1166" t="s">
        <v>36</v>
      </c>
      <c r="T1166" t="str">
        <f t="shared" si="195"/>
        <v>85719</v>
      </c>
      <c r="U1166" t="str">
        <f>""</f>
        <v/>
      </c>
      <c r="V1166" t="s">
        <v>4223</v>
      </c>
      <c r="X1166" t="s">
        <v>4169</v>
      </c>
      <c r="Y1166" t="s">
        <v>36</v>
      </c>
      <c r="Z1166" t="str">
        <f>"85746"</f>
        <v>85746</v>
      </c>
      <c r="AA1166" t="str">
        <f>""</f>
        <v/>
      </c>
      <c r="AB1166" t="s">
        <v>516</v>
      </c>
    </row>
    <row r="1167" spans="1:28" x14ac:dyDescent="0.25">
      <c r="A1167">
        <v>4403</v>
      </c>
      <c r="B1167" t="str">
        <f t="shared" si="192"/>
        <v>100201000</v>
      </c>
      <c r="C1167" t="s">
        <v>4163</v>
      </c>
      <c r="D1167">
        <v>5693</v>
      </c>
      <c r="E1167" t="str">
        <f>"100201275"</f>
        <v>100201275</v>
      </c>
      <c r="F1167" t="s">
        <v>4224</v>
      </c>
      <c r="G1167" t="s">
        <v>42</v>
      </c>
      <c r="H1167" t="s">
        <v>4164</v>
      </c>
      <c r="I1167" t="s">
        <v>4165</v>
      </c>
      <c r="J1167" t="s">
        <v>4166</v>
      </c>
      <c r="K1167" t="str">
        <f t="shared" si="193"/>
        <v>5202254700</v>
      </c>
      <c r="L1167" t="str">
        <f>""</f>
        <v/>
      </c>
      <c r="M1167" t="str">
        <f>"5202256847"</f>
        <v>5202256847</v>
      </c>
      <c r="N1167" t="str">
        <f>""</f>
        <v/>
      </c>
      <c r="O1167" t="s">
        <v>4167</v>
      </c>
      <c r="P1167" t="s">
        <v>4172</v>
      </c>
      <c r="R1167" t="s">
        <v>4169</v>
      </c>
      <c r="S1167" t="s">
        <v>36</v>
      </c>
      <c r="T1167" t="str">
        <f t="shared" si="195"/>
        <v>85719</v>
      </c>
      <c r="U1167" t="str">
        <f>""</f>
        <v/>
      </c>
      <c r="V1167" t="s">
        <v>4225</v>
      </c>
      <c r="X1167" t="s">
        <v>4169</v>
      </c>
      <c r="Y1167" t="s">
        <v>36</v>
      </c>
      <c r="Z1167" t="str">
        <f>"85710"</f>
        <v>85710</v>
      </c>
      <c r="AA1167" t="str">
        <f>""</f>
        <v/>
      </c>
      <c r="AB1167" t="s">
        <v>516</v>
      </c>
    </row>
    <row r="1168" spans="1:28" x14ac:dyDescent="0.25">
      <c r="A1168">
        <v>4403</v>
      </c>
      <c r="B1168" t="str">
        <f t="shared" si="192"/>
        <v>100201000</v>
      </c>
      <c r="C1168" t="s">
        <v>4163</v>
      </c>
      <c r="D1168">
        <v>5694</v>
      </c>
      <c r="E1168" t="str">
        <f>"100201277"</f>
        <v>100201277</v>
      </c>
      <c r="F1168" t="s">
        <v>4226</v>
      </c>
      <c r="G1168" t="s">
        <v>42</v>
      </c>
      <c r="H1168" t="s">
        <v>4164</v>
      </c>
      <c r="I1168" t="s">
        <v>4165</v>
      </c>
      <c r="J1168" t="s">
        <v>4166</v>
      </c>
      <c r="K1168" t="str">
        <f t="shared" si="193"/>
        <v>5202254700</v>
      </c>
      <c r="L1168" t="str">
        <f>""</f>
        <v/>
      </c>
      <c r="M1168" t="str">
        <f t="shared" ref="M1168:M1199" si="196">"5202254867"</f>
        <v>5202254867</v>
      </c>
      <c r="N1168" t="str">
        <f>""</f>
        <v/>
      </c>
      <c r="O1168" t="s">
        <v>4167</v>
      </c>
      <c r="P1168" t="s">
        <v>4172</v>
      </c>
      <c r="R1168" t="s">
        <v>4169</v>
      </c>
      <c r="S1168" t="s">
        <v>36</v>
      </c>
      <c r="T1168" t="str">
        <f t="shared" si="195"/>
        <v>85719</v>
      </c>
      <c r="U1168" t="str">
        <f>""</f>
        <v/>
      </c>
      <c r="V1168" t="s">
        <v>4227</v>
      </c>
      <c r="X1168" t="s">
        <v>4169</v>
      </c>
      <c r="Y1168" t="s">
        <v>36</v>
      </c>
      <c r="Z1168" t="str">
        <f>"85746"</f>
        <v>85746</v>
      </c>
      <c r="AA1168" t="str">
        <f>""</f>
        <v/>
      </c>
      <c r="AB1168" t="s">
        <v>516</v>
      </c>
    </row>
    <row r="1169" spans="1:28" x14ac:dyDescent="0.25">
      <c r="A1169">
        <v>4403</v>
      </c>
      <c r="B1169" t="str">
        <f t="shared" si="192"/>
        <v>100201000</v>
      </c>
      <c r="C1169" t="s">
        <v>4163</v>
      </c>
      <c r="D1169">
        <v>5695</v>
      </c>
      <c r="E1169" t="str">
        <f>"100201281"</f>
        <v>100201281</v>
      </c>
      <c r="F1169" t="s">
        <v>4228</v>
      </c>
      <c r="G1169" t="s">
        <v>42</v>
      </c>
      <c r="H1169" t="s">
        <v>4164</v>
      </c>
      <c r="I1169" t="s">
        <v>4165</v>
      </c>
      <c r="J1169" t="s">
        <v>4166</v>
      </c>
      <c r="K1169" t="str">
        <f t="shared" si="193"/>
        <v>5202254700</v>
      </c>
      <c r="L1169" t="str">
        <f>""</f>
        <v/>
      </c>
      <c r="M1169" t="str">
        <f t="shared" si="196"/>
        <v>5202254867</v>
      </c>
      <c r="N1169" t="str">
        <f>""</f>
        <v/>
      </c>
      <c r="O1169" t="s">
        <v>4167</v>
      </c>
      <c r="P1169" t="s">
        <v>4172</v>
      </c>
      <c r="R1169" t="s">
        <v>4169</v>
      </c>
      <c r="S1169" t="s">
        <v>36</v>
      </c>
      <c r="T1169" t="str">
        <f t="shared" si="195"/>
        <v>85719</v>
      </c>
      <c r="U1169" t="str">
        <f>""</f>
        <v/>
      </c>
      <c r="V1169" t="s">
        <v>4229</v>
      </c>
      <c r="X1169" t="s">
        <v>4169</v>
      </c>
      <c r="Y1169" t="s">
        <v>36</v>
      </c>
      <c r="Z1169" t="str">
        <f>"85711"</f>
        <v>85711</v>
      </c>
      <c r="AA1169" t="str">
        <f>""</f>
        <v/>
      </c>
      <c r="AB1169" t="s">
        <v>516</v>
      </c>
    </row>
    <row r="1170" spans="1:28" x14ac:dyDescent="0.25">
      <c r="A1170">
        <v>4403</v>
      </c>
      <c r="B1170" t="str">
        <f t="shared" si="192"/>
        <v>100201000</v>
      </c>
      <c r="C1170" t="s">
        <v>4163</v>
      </c>
      <c r="D1170">
        <v>5697</v>
      </c>
      <c r="E1170" t="str">
        <f>"100201287"</f>
        <v>100201287</v>
      </c>
      <c r="F1170" t="s">
        <v>4230</v>
      </c>
      <c r="G1170" t="s">
        <v>42</v>
      </c>
      <c r="H1170" t="s">
        <v>4164</v>
      </c>
      <c r="I1170" t="s">
        <v>4165</v>
      </c>
      <c r="J1170" t="s">
        <v>4166</v>
      </c>
      <c r="K1170" t="str">
        <f t="shared" si="193"/>
        <v>5202254700</v>
      </c>
      <c r="L1170" t="str">
        <f>""</f>
        <v/>
      </c>
      <c r="M1170" t="str">
        <f t="shared" si="196"/>
        <v>5202254867</v>
      </c>
      <c r="N1170" t="str">
        <f>""</f>
        <v/>
      </c>
      <c r="O1170" t="s">
        <v>4167</v>
      </c>
      <c r="P1170" t="s">
        <v>4172</v>
      </c>
      <c r="R1170" t="s">
        <v>4169</v>
      </c>
      <c r="S1170" t="s">
        <v>36</v>
      </c>
      <c r="T1170" t="str">
        <f t="shared" si="195"/>
        <v>85719</v>
      </c>
      <c r="U1170" t="str">
        <f>""</f>
        <v/>
      </c>
      <c r="V1170" t="s">
        <v>4231</v>
      </c>
      <c r="X1170" t="s">
        <v>4169</v>
      </c>
      <c r="Y1170" t="s">
        <v>36</v>
      </c>
      <c r="Z1170" t="str">
        <f>"85713"</f>
        <v>85713</v>
      </c>
      <c r="AA1170" t="str">
        <f>""</f>
        <v/>
      </c>
      <c r="AB1170" t="s">
        <v>516</v>
      </c>
    </row>
    <row r="1171" spans="1:28" x14ac:dyDescent="0.25">
      <c r="A1171">
        <v>4403</v>
      </c>
      <c r="B1171" t="str">
        <f t="shared" si="192"/>
        <v>100201000</v>
      </c>
      <c r="C1171" t="s">
        <v>4163</v>
      </c>
      <c r="D1171">
        <v>5699</v>
      </c>
      <c r="E1171" t="str">
        <f>"100201290"</f>
        <v>100201290</v>
      </c>
      <c r="F1171" t="s">
        <v>4232</v>
      </c>
      <c r="G1171" t="s">
        <v>42</v>
      </c>
      <c r="H1171" t="s">
        <v>4164</v>
      </c>
      <c r="I1171" t="s">
        <v>4165</v>
      </c>
      <c r="J1171" t="s">
        <v>4166</v>
      </c>
      <c r="K1171" t="str">
        <f t="shared" si="193"/>
        <v>5202254700</v>
      </c>
      <c r="L1171" t="str">
        <f>""</f>
        <v/>
      </c>
      <c r="M1171" t="str">
        <f t="shared" si="196"/>
        <v>5202254867</v>
      </c>
      <c r="N1171" t="str">
        <f>""</f>
        <v/>
      </c>
      <c r="O1171" t="s">
        <v>4167</v>
      </c>
      <c r="P1171" t="s">
        <v>4168</v>
      </c>
      <c r="R1171" t="s">
        <v>4169</v>
      </c>
      <c r="S1171" t="s">
        <v>36</v>
      </c>
      <c r="T1171" t="str">
        <f t="shared" si="195"/>
        <v>85719</v>
      </c>
      <c r="U1171" t="str">
        <f>""</f>
        <v/>
      </c>
      <c r="V1171" t="s">
        <v>4233</v>
      </c>
      <c r="X1171" t="s">
        <v>4169</v>
      </c>
      <c r="Y1171" t="s">
        <v>36</v>
      </c>
      <c r="Z1171" t="str">
        <f>"85746"</f>
        <v>85746</v>
      </c>
      <c r="AA1171" t="str">
        <f>""</f>
        <v/>
      </c>
      <c r="AB1171" t="s">
        <v>516</v>
      </c>
    </row>
    <row r="1172" spans="1:28" x14ac:dyDescent="0.25">
      <c r="A1172">
        <v>4403</v>
      </c>
      <c r="B1172" t="str">
        <f t="shared" ref="B1172:B1203" si="197">"100201000"</f>
        <v>100201000</v>
      </c>
      <c r="C1172" t="s">
        <v>4163</v>
      </c>
      <c r="D1172">
        <v>5700</v>
      </c>
      <c r="E1172" t="str">
        <f>"100201293"</f>
        <v>100201293</v>
      </c>
      <c r="F1172" t="s">
        <v>4234</v>
      </c>
      <c r="G1172" t="s">
        <v>42</v>
      </c>
      <c r="H1172" t="s">
        <v>4164</v>
      </c>
      <c r="I1172" t="s">
        <v>4165</v>
      </c>
      <c r="J1172" t="s">
        <v>4166</v>
      </c>
      <c r="K1172" t="str">
        <f t="shared" ref="K1172:K1203" si="198">"5202254700"</f>
        <v>5202254700</v>
      </c>
      <c r="L1172" t="str">
        <f>""</f>
        <v/>
      </c>
      <c r="M1172" t="str">
        <f t="shared" si="196"/>
        <v>5202254867</v>
      </c>
      <c r="N1172" t="str">
        <f>""</f>
        <v/>
      </c>
      <c r="O1172" t="s">
        <v>4167</v>
      </c>
      <c r="P1172" t="s">
        <v>4168</v>
      </c>
      <c r="R1172" t="s">
        <v>4169</v>
      </c>
      <c r="S1172" t="s">
        <v>36</v>
      </c>
      <c r="T1172" t="str">
        <f t="shared" ref="T1172:T1204" si="199">"85719"</f>
        <v>85719</v>
      </c>
      <c r="U1172" t="str">
        <f>""</f>
        <v/>
      </c>
      <c r="V1172" t="s">
        <v>4235</v>
      </c>
      <c r="X1172" t="s">
        <v>4169</v>
      </c>
      <c r="Y1172" t="s">
        <v>36</v>
      </c>
      <c r="Z1172" t="str">
        <f>"85745"</f>
        <v>85745</v>
      </c>
      <c r="AA1172" t="str">
        <f>""</f>
        <v/>
      </c>
      <c r="AB1172" t="s">
        <v>516</v>
      </c>
    </row>
    <row r="1173" spans="1:28" x14ac:dyDescent="0.25">
      <c r="A1173">
        <v>4403</v>
      </c>
      <c r="B1173" t="str">
        <f t="shared" si="197"/>
        <v>100201000</v>
      </c>
      <c r="C1173" t="s">
        <v>4163</v>
      </c>
      <c r="D1173">
        <v>5701</v>
      </c>
      <c r="E1173" t="str">
        <f>"100201295"</f>
        <v>100201295</v>
      </c>
      <c r="F1173" t="s">
        <v>4236</v>
      </c>
      <c r="G1173" t="s">
        <v>42</v>
      </c>
      <c r="H1173" t="s">
        <v>4164</v>
      </c>
      <c r="I1173" t="s">
        <v>4165</v>
      </c>
      <c r="J1173" t="s">
        <v>4166</v>
      </c>
      <c r="K1173" t="str">
        <f t="shared" si="198"/>
        <v>5202254700</v>
      </c>
      <c r="L1173" t="str">
        <f>""</f>
        <v/>
      </c>
      <c r="M1173" t="str">
        <f t="shared" si="196"/>
        <v>5202254867</v>
      </c>
      <c r="N1173" t="str">
        <f>""</f>
        <v/>
      </c>
      <c r="O1173" t="s">
        <v>4167</v>
      </c>
      <c r="P1173" t="s">
        <v>4168</v>
      </c>
      <c r="R1173" t="s">
        <v>4169</v>
      </c>
      <c r="S1173" t="s">
        <v>36</v>
      </c>
      <c r="T1173" t="str">
        <f t="shared" si="199"/>
        <v>85719</v>
      </c>
      <c r="U1173" t="str">
        <f>""</f>
        <v/>
      </c>
      <c r="V1173" t="s">
        <v>4237</v>
      </c>
      <c r="X1173" t="s">
        <v>4169</v>
      </c>
      <c r="Y1173" t="s">
        <v>36</v>
      </c>
      <c r="Z1173" t="str">
        <f>"85710"</f>
        <v>85710</v>
      </c>
      <c r="AA1173" t="str">
        <f>""</f>
        <v/>
      </c>
      <c r="AB1173" t="s">
        <v>516</v>
      </c>
    </row>
    <row r="1174" spans="1:28" x14ac:dyDescent="0.25">
      <c r="A1174">
        <v>4403</v>
      </c>
      <c r="B1174" t="str">
        <f t="shared" si="197"/>
        <v>100201000</v>
      </c>
      <c r="C1174" t="s">
        <v>4163</v>
      </c>
      <c r="D1174">
        <v>5703</v>
      </c>
      <c r="E1174" t="str">
        <f>"100201305"</f>
        <v>100201305</v>
      </c>
      <c r="F1174" t="s">
        <v>4238</v>
      </c>
      <c r="G1174" t="s">
        <v>42</v>
      </c>
      <c r="H1174" t="s">
        <v>4164</v>
      </c>
      <c r="I1174" t="s">
        <v>4165</v>
      </c>
      <c r="J1174" t="s">
        <v>4166</v>
      </c>
      <c r="K1174" t="str">
        <f t="shared" si="198"/>
        <v>5202254700</v>
      </c>
      <c r="L1174" t="str">
        <f>""</f>
        <v/>
      </c>
      <c r="M1174" t="str">
        <f t="shared" si="196"/>
        <v>5202254867</v>
      </c>
      <c r="N1174" t="str">
        <f>""</f>
        <v/>
      </c>
      <c r="O1174" t="s">
        <v>4167</v>
      </c>
      <c r="P1174" t="s">
        <v>4168</v>
      </c>
      <c r="R1174" t="s">
        <v>4169</v>
      </c>
      <c r="S1174" t="s">
        <v>36</v>
      </c>
      <c r="T1174" t="str">
        <f t="shared" si="199"/>
        <v>85719</v>
      </c>
      <c r="U1174" t="str">
        <f>""</f>
        <v/>
      </c>
      <c r="V1174" t="s">
        <v>4239</v>
      </c>
      <c r="X1174" t="s">
        <v>4169</v>
      </c>
      <c r="Y1174" t="s">
        <v>36</v>
      </c>
      <c r="Z1174" t="str">
        <f>"85719"</f>
        <v>85719</v>
      </c>
      <c r="AA1174" t="str">
        <f>""</f>
        <v/>
      </c>
      <c r="AB1174" t="s">
        <v>516</v>
      </c>
    </row>
    <row r="1175" spans="1:28" x14ac:dyDescent="0.25">
      <c r="A1175">
        <v>4403</v>
      </c>
      <c r="B1175" t="str">
        <f t="shared" si="197"/>
        <v>100201000</v>
      </c>
      <c r="C1175" t="s">
        <v>4163</v>
      </c>
      <c r="D1175">
        <v>5704</v>
      </c>
      <c r="E1175" t="str">
        <f>"100201308"</f>
        <v>100201308</v>
      </c>
      <c r="F1175" t="s">
        <v>4240</v>
      </c>
      <c r="G1175" t="s">
        <v>42</v>
      </c>
      <c r="H1175" t="s">
        <v>4164</v>
      </c>
      <c r="I1175" t="s">
        <v>4165</v>
      </c>
      <c r="J1175" t="s">
        <v>4166</v>
      </c>
      <c r="K1175" t="str">
        <f t="shared" si="198"/>
        <v>5202254700</v>
      </c>
      <c r="L1175" t="str">
        <f>""</f>
        <v/>
      </c>
      <c r="M1175" t="str">
        <f t="shared" si="196"/>
        <v>5202254867</v>
      </c>
      <c r="N1175" t="str">
        <f>""</f>
        <v/>
      </c>
      <c r="O1175" t="s">
        <v>4167</v>
      </c>
      <c r="P1175" t="s">
        <v>4168</v>
      </c>
      <c r="R1175" t="s">
        <v>4169</v>
      </c>
      <c r="S1175" t="s">
        <v>36</v>
      </c>
      <c r="T1175" t="str">
        <f t="shared" si="199"/>
        <v>85719</v>
      </c>
      <c r="U1175" t="str">
        <f>""</f>
        <v/>
      </c>
      <c r="V1175" t="s">
        <v>4241</v>
      </c>
      <c r="X1175" t="s">
        <v>4169</v>
      </c>
      <c r="Y1175" t="s">
        <v>36</v>
      </c>
      <c r="Z1175" t="str">
        <f>"85746"</f>
        <v>85746</v>
      </c>
      <c r="AA1175" t="str">
        <f>""</f>
        <v/>
      </c>
      <c r="AB1175" t="s">
        <v>516</v>
      </c>
    </row>
    <row r="1176" spans="1:28" x14ac:dyDescent="0.25">
      <c r="A1176">
        <v>4403</v>
      </c>
      <c r="B1176" t="str">
        <f t="shared" si="197"/>
        <v>100201000</v>
      </c>
      <c r="C1176" t="s">
        <v>4163</v>
      </c>
      <c r="D1176">
        <v>5705</v>
      </c>
      <c r="E1176" t="str">
        <f>"100201311"</f>
        <v>100201311</v>
      </c>
      <c r="F1176" t="s">
        <v>4242</v>
      </c>
      <c r="G1176" t="s">
        <v>42</v>
      </c>
      <c r="H1176" t="s">
        <v>4164</v>
      </c>
      <c r="I1176" t="s">
        <v>4165</v>
      </c>
      <c r="J1176" t="s">
        <v>4166</v>
      </c>
      <c r="K1176" t="str">
        <f t="shared" si="198"/>
        <v>5202254700</v>
      </c>
      <c r="L1176" t="str">
        <f>""</f>
        <v/>
      </c>
      <c r="M1176" t="str">
        <f t="shared" si="196"/>
        <v>5202254867</v>
      </c>
      <c r="N1176" t="str">
        <f>""</f>
        <v/>
      </c>
      <c r="O1176" t="s">
        <v>4167</v>
      </c>
      <c r="P1176" t="s">
        <v>4168</v>
      </c>
      <c r="R1176" t="s">
        <v>4169</v>
      </c>
      <c r="S1176" t="s">
        <v>36</v>
      </c>
      <c r="T1176" t="str">
        <f t="shared" si="199"/>
        <v>85719</v>
      </c>
      <c r="U1176" t="str">
        <f>""</f>
        <v/>
      </c>
      <c r="V1176" t="s">
        <v>4243</v>
      </c>
      <c r="X1176" t="s">
        <v>4169</v>
      </c>
      <c r="Y1176" t="s">
        <v>36</v>
      </c>
      <c r="Z1176" t="str">
        <f>"85713"</f>
        <v>85713</v>
      </c>
      <c r="AA1176" t="str">
        <f>""</f>
        <v/>
      </c>
      <c r="AB1176" t="s">
        <v>516</v>
      </c>
    </row>
    <row r="1177" spans="1:28" x14ac:dyDescent="0.25">
      <c r="A1177">
        <v>4403</v>
      </c>
      <c r="B1177" t="str">
        <f t="shared" si="197"/>
        <v>100201000</v>
      </c>
      <c r="C1177" t="s">
        <v>4163</v>
      </c>
      <c r="D1177">
        <v>5706</v>
      </c>
      <c r="E1177" t="str">
        <f>"100201317"</f>
        <v>100201317</v>
      </c>
      <c r="F1177" t="s">
        <v>4244</v>
      </c>
      <c r="G1177" t="s">
        <v>42</v>
      </c>
      <c r="H1177" t="s">
        <v>4164</v>
      </c>
      <c r="I1177" t="s">
        <v>4165</v>
      </c>
      <c r="J1177" t="s">
        <v>4166</v>
      </c>
      <c r="K1177" t="str">
        <f t="shared" si="198"/>
        <v>5202254700</v>
      </c>
      <c r="L1177" t="str">
        <f>""</f>
        <v/>
      </c>
      <c r="M1177" t="str">
        <f t="shared" si="196"/>
        <v>5202254867</v>
      </c>
      <c r="N1177" t="str">
        <f>""</f>
        <v/>
      </c>
      <c r="O1177" t="s">
        <v>4167</v>
      </c>
      <c r="P1177" t="s">
        <v>4168</v>
      </c>
      <c r="R1177" t="s">
        <v>4169</v>
      </c>
      <c r="S1177" t="s">
        <v>36</v>
      </c>
      <c r="T1177" t="str">
        <f t="shared" si="199"/>
        <v>85719</v>
      </c>
      <c r="U1177" t="str">
        <f>""</f>
        <v/>
      </c>
      <c r="V1177" t="s">
        <v>4245</v>
      </c>
      <c r="X1177" t="s">
        <v>4169</v>
      </c>
      <c r="Y1177" t="s">
        <v>36</v>
      </c>
      <c r="Z1177" t="str">
        <f>"85711"</f>
        <v>85711</v>
      </c>
      <c r="AA1177" t="str">
        <f>""</f>
        <v/>
      </c>
      <c r="AB1177" t="s">
        <v>516</v>
      </c>
    </row>
    <row r="1178" spans="1:28" x14ac:dyDescent="0.25">
      <c r="A1178">
        <v>4403</v>
      </c>
      <c r="B1178" t="str">
        <f t="shared" si="197"/>
        <v>100201000</v>
      </c>
      <c r="C1178" t="s">
        <v>4163</v>
      </c>
      <c r="D1178">
        <v>5707</v>
      </c>
      <c r="E1178" t="str">
        <f>"100201323"</f>
        <v>100201323</v>
      </c>
      <c r="F1178" t="s">
        <v>4246</v>
      </c>
      <c r="G1178" t="s">
        <v>42</v>
      </c>
      <c r="H1178" t="s">
        <v>4164</v>
      </c>
      <c r="I1178" t="s">
        <v>4165</v>
      </c>
      <c r="J1178" t="s">
        <v>4166</v>
      </c>
      <c r="K1178" t="str">
        <f t="shared" si="198"/>
        <v>5202254700</v>
      </c>
      <c r="L1178" t="str">
        <f>""</f>
        <v/>
      </c>
      <c r="M1178" t="str">
        <f t="shared" si="196"/>
        <v>5202254867</v>
      </c>
      <c r="N1178" t="str">
        <f>""</f>
        <v/>
      </c>
      <c r="O1178" t="s">
        <v>4167</v>
      </c>
      <c r="P1178" t="s">
        <v>4168</v>
      </c>
      <c r="R1178" t="s">
        <v>4169</v>
      </c>
      <c r="S1178" t="s">
        <v>36</v>
      </c>
      <c r="T1178" t="str">
        <f t="shared" si="199"/>
        <v>85719</v>
      </c>
      <c r="U1178" t="str">
        <f>""</f>
        <v/>
      </c>
      <c r="V1178" t="s">
        <v>4247</v>
      </c>
      <c r="X1178" t="s">
        <v>4169</v>
      </c>
      <c r="Y1178" t="s">
        <v>36</v>
      </c>
      <c r="Z1178" t="str">
        <f>"85713"</f>
        <v>85713</v>
      </c>
      <c r="AA1178" t="str">
        <f>""</f>
        <v/>
      </c>
      <c r="AB1178" t="s">
        <v>516</v>
      </c>
    </row>
    <row r="1179" spans="1:28" x14ac:dyDescent="0.25">
      <c r="A1179">
        <v>4403</v>
      </c>
      <c r="B1179" t="str">
        <f t="shared" si="197"/>
        <v>100201000</v>
      </c>
      <c r="C1179" t="s">
        <v>4163</v>
      </c>
      <c r="D1179">
        <v>5708</v>
      </c>
      <c r="E1179" t="str">
        <f>"100201329"</f>
        <v>100201329</v>
      </c>
      <c r="F1179" t="s">
        <v>4248</v>
      </c>
      <c r="G1179" t="s">
        <v>42</v>
      </c>
      <c r="H1179" t="s">
        <v>4164</v>
      </c>
      <c r="I1179" t="s">
        <v>4165</v>
      </c>
      <c r="J1179" t="s">
        <v>4166</v>
      </c>
      <c r="K1179" t="str">
        <f t="shared" si="198"/>
        <v>5202254700</v>
      </c>
      <c r="L1179" t="str">
        <f>""</f>
        <v/>
      </c>
      <c r="M1179" t="str">
        <f t="shared" si="196"/>
        <v>5202254867</v>
      </c>
      <c r="N1179" t="str">
        <f>""</f>
        <v/>
      </c>
      <c r="O1179" t="s">
        <v>4167</v>
      </c>
      <c r="P1179" t="s">
        <v>4168</v>
      </c>
      <c r="R1179" t="s">
        <v>4169</v>
      </c>
      <c r="S1179" t="s">
        <v>36</v>
      </c>
      <c r="T1179" t="str">
        <f t="shared" si="199"/>
        <v>85719</v>
      </c>
      <c r="U1179" t="str">
        <f>""</f>
        <v/>
      </c>
      <c r="V1179" t="s">
        <v>4249</v>
      </c>
      <c r="X1179" t="s">
        <v>4169</v>
      </c>
      <c r="Y1179" t="s">
        <v>36</v>
      </c>
      <c r="Z1179" t="str">
        <f>"85713"</f>
        <v>85713</v>
      </c>
      <c r="AA1179" t="str">
        <f>""</f>
        <v/>
      </c>
      <c r="AB1179" t="s">
        <v>516</v>
      </c>
    </row>
    <row r="1180" spans="1:28" x14ac:dyDescent="0.25">
      <c r="A1180">
        <v>4403</v>
      </c>
      <c r="B1180" t="str">
        <f t="shared" si="197"/>
        <v>100201000</v>
      </c>
      <c r="C1180" t="s">
        <v>4163</v>
      </c>
      <c r="D1180">
        <v>5712</v>
      </c>
      <c r="E1180" t="str">
        <f>"100201351"</f>
        <v>100201351</v>
      </c>
      <c r="F1180" t="s">
        <v>4250</v>
      </c>
      <c r="G1180" t="s">
        <v>42</v>
      </c>
      <c r="H1180" t="s">
        <v>4164</v>
      </c>
      <c r="I1180" t="s">
        <v>4165</v>
      </c>
      <c r="J1180" t="s">
        <v>4166</v>
      </c>
      <c r="K1180" t="str">
        <f t="shared" si="198"/>
        <v>5202254700</v>
      </c>
      <c r="L1180" t="str">
        <f>""</f>
        <v/>
      </c>
      <c r="M1180" t="str">
        <f t="shared" si="196"/>
        <v>5202254867</v>
      </c>
      <c r="N1180" t="str">
        <f>""</f>
        <v/>
      </c>
      <c r="O1180" t="s">
        <v>4167</v>
      </c>
      <c r="P1180" t="s">
        <v>4168</v>
      </c>
      <c r="R1180" t="s">
        <v>4169</v>
      </c>
      <c r="S1180" t="s">
        <v>36</v>
      </c>
      <c r="T1180" t="str">
        <f t="shared" si="199"/>
        <v>85719</v>
      </c>
      <c r="U1180" t="str">
        <f>""</f>
        <v/>
      </c>
      <c r="V1180" t="s">
        <v>4251</v>
      </c>
      <c r="X1180" t="s">
        <v>4169</v>
      </c>
      <c r="Y1180" t="s">
        <v>36</v>
      </c>
      <c r="Z1180" t="str">
        <f>"85745"</f>
        <v>85745</v>
      </c>
      <c r="AA1180" t="str">
        <f>""</f>
        <v/>
      </c>
      <c r="AB1180" t="s">
        <v>516</v>
      </c>
    </row>
    <row r="1181" spans="1:28" x14ac:dyDescent="0.25">
      <c r="A1181">
        <v>4403</v>
      </c>
      <c r="B1181" t="str">
        <f t="shared" si="197"/>
        <v>100201000</v>
      </c>
      <c r="C1181" t="s">
        <v>4163</v>
      </c>
      <c r="D1181">
        <v>5713</v>
      </c>
      <c r="E1181" t="str">
        <f>"100201353"</f>
        <v>100201353</v>
      </c>
      <c r="F1181" t="s">
        <v>4252</v>
      </c>
      <c r="G1181" t="s">
        <v>42</v>
      </c>
      <c r="H1181" t="s">
        <v>4164</v>
      </c>
      <c r="I1181" t="s">
        <v>4165</v>
      </c>
      <c r="J1181" t="s">
        <v>4166</v>
      </c>
      <c r="K1181" t="str">
        <f t="shared" si="198"/>
        <v>5202254700</v>
      </c>
      <c r="L1181" t="str">
        <f>""</f>
        <v/>
      </c>
      <c r="M1181" t="str">
        <f t="shared" si="196"/>
        <v>5202254867</v>
      </c>
      <c r="N1181" t="str">
        <f>""</f>
        <v/>
      </c>
      <c r="O1181" t="s">
        <v>4167</v>
      </c>
      <c r="P1181" t="s">
        <v>4168</v>
      </c>
      <c r="R1181" t="s">
        <v>4169</v>
      </c>
      <c r="S1181" t="s">
        <v>36</v>
      </c>
      <c r="T1181" t="str">
        <f t="shared" si="199"/>
        <v>85719</v>
      </c>
      <c r="U1181" t="str">
        <f>""</f>
        <v/>
      </c>
      <c r="V1181" t="s">
        <v>4253</v>
      </c>
      <c r="X1181" t="s">
        <v>4169</v>
      </c>
      <c r="Y1181" t="s">
        <v>36</v>
      </c>
      <c r="Z1181" t="str">
        <f>"85716"</f>
        <v>85716</v>
      </c>
      <c r="AA1181" t="str">
        <f>""</f>
        <v/>
      </c>
      <c r="AB1181" t="s">
        <v>516</v>
      </c>
    </row>
    <row r="1182" spans="1:28" x14ac:dyDescent="0.25">
      <c r="A1182">
        <v>4403</v>
      </c>
      <c r="B1182" t="str">
        <f t="shared" si="197"/>
        <v>100201000</v>
      </c>
      <c r="C1182" t="s">
        <v>4163</v>
      </c>
      <c r="D1182">
        <v>5715</v>
      </c>
      <c r="E1182" t="str">
        <f>"100201371"</f>
        <v>100201371</v>
      </c>
      <c r="F1182" t="s">
        <v>4254</v>
      </c>
      <c r="G1182" t="s">
        <v>42</v>
      </c>
      <c r="H1182" t="s">
        <v>4164</v>
      </c>
      <c r="I1182" t="s">
        <v>4165</v>
      </c>
      <c r="J1182" t="s">
        <v>4166</v>
      </c>
      <c r="K1182" t="str">
        <f t="shared" si="198"/>
        <v>5202254700</v>
      </c>
      <c r="L1182" t="str">
        <f>""</f>
        <v/>
      </c>
      <c r="M1182" t="str">
        <f t="shared" si="196"/>
        <v>5202254867</v>
      </c>
      <c r="N1182" t="str">
        <f>""</f>
        <v/>
      </c>
      <c r="O1182" t="s">
        <v>4167</v>
      </c>
      <c r="P1182" t="s">
        <v>4168</v>
      </c>
      <c r="R1182" t="s">
        <v>4169</v>
      </c>
      <c r="S1182" t="s">
        <v>36</v>
      </c>
      <c r="T1182" t="str">
        <f t="shared" si="199"/>
        <v>85719</v>
      </c>
      <c r="U1182" t="str">
        <f>""</f>
        <v/>
      </c>
      <c r="V1182" t="s">
        <v>4255</v>
      </c>
      <c r="X1182" t="s">
        <v>4169</v>
      </c>
      <c r="Y1182" t="s">
        <v>36</v>
      </c>
      <c r="Z1182" t="str">
        <f>"85714"</f>
        <v>85714</v>
      </c>
      <c r="AA1182" t="str">
        <f>""</f>
        <v/>
      </c>
      <c r="AB1182" t="s">
        <v>516</v>
      </c>
    </row>
    <row r="1183" spans="1:28" x14ac:dyDescent="0.25">
      <c r="A1183">
        <v>4403</v>
      </c>
      <c r="B1183" t="str">
        <f t="shared" si="197"/>
        <v>100201000</v>
      </c>
      <c r="C1183" t="s">
        <v>4163</v>
      </c>
      <c r="D1183">
        <v>5719</v>
      </c>
      <c r="E1183" t="str">
        <f>"100201395"</f>
        <v>100201395</v>
      </c>
      <c r="F1183" t="s">
        <v>4256</v>
      </c>
      <c r="G1183" t="s">
        <v>42</v>
      </c>
      <c r="H1183" t="s">
        <v>4164</v>
      </c>
      <c r="I1183" t="s">
        <v>4165</v>
      </c>
      <c r="J1183" t="s">
        <v>4166</v>
      </c>
      <c r="K1183" t="str">
        <f t="shared" si="198"/>
        <v>5202254700</v>
      </c>
      <c r="L1183" t="str">
        <f>""</f>
        <v/>
      </c>
      <c r="M1183" t="str">
        <f t="shared" si="196"/>
        <v>5202254867</v>
      </c>
      <c r="N1183" t="str">
        <f>""</f>
        <v/>
      </c>
      <c r="O1183" t="s">
        <v>4167</v>
      </c>
      <c r="P1183" t="s">
        <v>4168</v>
      </c>
      <c r="R1183" t="s">
        <v>4169</v>
      </c>
      <c r="S1183" t="s">
        <v>36</v>
      </c>
      <c r="T1183" t="str">
        <f t="shared" si="199"/>
        <v>85719</v>
      </c>
      <c r="U1183" t="str">
        <f>""</f>
        <v/>
      </c>
      <c r="V1183" t="s">
        <v>4257</v>
      </c>
      <c r="X1183" t="s">
        <v>4169</v>
      </c>
      <c r="Y1183" t="s">
        <v>36</v>
      </c>
      <c r="Z1183" t="str">
        <f>"85711"</f>
        <v>85711</v>
      </c>
      <c r="AA1183" t="str">
        <f>""</f>
        <v/>
      </c>
      <c r="AB1183" t="s">
        <v>516</v>
      </c>
    </row>
    <row r="1184" spans="1:28" x14ac:dyDescent="0.25">
      <c r="A1184">
        <v>4403</v>
      </c>
      <c r="B1184" t="str">
        <f t="shared" si="197"/>
        <v>100201000</v>
      </c>
      <c r="C1184" t="s">
        <v>4163</v>
      </c>
      <c r="D1184">
        <v>5721</v>
      </c>
      <c r="E1184" t="str">
        <f>"100201410"</f>
        <v>100201410</v>
      </c>
      <c r="F1184" t="s">
        <v>4258</v>
      </c>
      <c r="G1184" t="s">
        <v>42</v>
      </c>
      <c r="H1184" t="s">
        <v>4164</v>
      </c>
      <c r="I1184" t="s">
        <v>4165</v>
      </c>
      <c r="J1184" t="s">
        <v>4166</v>
      </c>
      <c r="K1184" t="str">
        <f t="shared" si="198"/>
        <v>5202254700</v>
      </c>
      <c r="L1184" t="str">
        <f>""</f>
        <v/>
      </c>
      <c r="M1184" t="str">
        <f t="shared" si="196"/>
        <v>5202254867</v>
      </c>
      <c r="N1184" t="str">
        <f>""</f>
        <v/>
      </c>
      <c r="O1184" t="s">
        <v>4167</v>
      </c>
      <c r="P1184" t="s">
        <v>4168</v>
      </c>
      <c r="R1184" t="s">
        <v>4169</v>
      </c>
      <c r="S1184" t="s">
        <v>36</v>
      </c>
      <c r="T1184" t="str">
        <f t="shared" si="199"/>
        <v>85719</v>
      </c>
      <c r="U1184" t="str">
        <f>""</f>
        <v/>
      </c>
      <c r="V1184" t="s">
        <v>4259</v>
      </c>
      <c r="X1184" t="s">
        <v>4169</v>
      </c>
      <c r="Y1184" t="s">
        <v>36</v>
      </c>
      <c r="Z1184" t="str">
        <f>"85748"</f>
        <v>85748</v>
      </c>
      <c r="AA1184" t="str">
        <f>""</f>
        <v/>
      </c>
      <c r="AB1184" t="s">
        <v>516</v>
      </c>
    </row>
    <row r="1185" spans="1:28" x14ac:dyDescent="0.25">
      <c r="A1185">
        <v>4403</v>
      </c>
      <c r="B1185" t="str">
        <f t="shared" si="197"/>
        <v>100201000</v>
      </c>
      <c r="C1185" t="s">
        <v>4163</v>
      </c>
      <c r="D1185">
        <v>5723</v>
      </c>
      <c r="E1185" t="str">
        <f>"100201413"</f>
        <v>100201413</v>
      </c>
      <c r="F1185" t="s">
        <v>4260</v>
      </c>
      <c r="G1185" t="s">
        <v>42</v>
      </c>
      <c r="H1185" t="s">
        <v>4164</v>
      </c>
      <c r="I1185" t="s">
        <v>4165</v>
      </c>
      <c r="J1185" t="s">
        <v>4166</v>
      </c>
      <c r="K1185" t="str">
        <f t="shared" si="198"/>
        <v>5202254700</v>
      </c>
      <c r="L1185" t="str">
        <f>""</f>
        <v/>
      </c>
      <c r="M1185" t="str">
        <f t="shared" si="196"/>
        <v>5202254867</v>
      </c>
      <c r="N1185" t="str">
        <f>""</f>
        <v/>
      </c>
      <c r="O1185" t="s">
        <v>4167</v>
      </c>
      <c r="P1185" t="s">
        <v>4172</v>
      </c>
      <c r="R1185" t="s">
        <v>4169</v>
      </c>
      <c r="S1185" t="s">
        <v>36</v>
      </c>
      <c r="T1185" t="str">
        <f t="shared" si="199"/>
        <v>85719</v>
      </c>
      <c r="U1185" t="str">
        <f>""</f>
        <v/>
      </c>
      <c r="V1185" t="s">
        <v>4261</v>
      </c>
      <c r="X1185" t="s">
        <v>4169</v>
      </c>
      <c r="Y1185" t="s">
        <v>36</v>
      </c>
      <c r="Z1185" t="str">
        <f>"85710"</f>
        <v>85710</v>
      </c>
      <c r="AA1185" t="str">
        <f>""</f>
        <v/>
      </c>
      <c r="AB1185" t="s">
        <v>516</v>
      </c>
    </row>
    <row r="1186" spans="1:28" x14ac:dyDescent="0.25">
      <c r="A1186">
        <v>4403</v>
      </c>
      <c r="B1186" t="str">
        <f t="shared" si="197"/>
        <v>100201000</v>
      </c>
      <c r="C1186" t="s">
        <v>4163</v>
      </c>
      <c r="D1186">
        <v>5724</v>
      </c>
      <c r="E1186" t="str">
        <f>"100201417"</f>
        <v>100201417</v>
      </c>
      <c r="F1186" t="s">
        <v>4262</v>
      </c>
      <c r="G1186" t="s">
        <v>42</v>
      </c>
      <c r="H1186" t="s">
        <v>4164</v>
      </c>
      <c r="I1186" t="s">
        <v>4165</v>
      </c>
      <c r="J1186" t="s">
        <v>4166</v>
      </c>
      <c r="K1186" t="str">
        <f t="shared" si="198"/>
        <v>5202254700</v>
      </c>
      <c r="L1186" t="str">
        <f>""</f>
        <v/>
      </c>
      <c r="M1186" t="str">
        <f t="shared" si="196"/>
        <v>5202254867</v>
      </c>
      <c r="N1186" t="str">
        <f>""</f>
        <v/>
      </c>
      <c r="O1186" t="s">
        <v>4167</v>
      </c>
      <c r="P1186" t="s">
        <v>4168</v>
      </c>
      <c r="R1186" t="s">
        <v>4169</v>
      </c>
      <c r="S1186" t="s">
        <v>36</v>
      </c>
      <c r="T1186" t="str">
        <f t="shared" si="199"/>
        <v>85719</v>
      </c>
      <c r="U1186" t="str">
        <f>""</f>
        <v/>
      </c>
      <c r="V1186" t="s">
        <v>4263</v>
      </c>
      <c r="X1186" t="s">
        <v>4169</v>
      </c>
      <c r="Y1186" t="s">
        <v>36</v>
      </c>
      <c r="Z1186" t="str">
        <f>"85745"</f>
        <v>85745</v>
      </c>
      <c r="AA1186" t="str">
        <f>""</f>
        <v/>
      </c>
      <c r="AB1186" t="s">
        <v>516</v>
      </c>
    </row>
    <row r="1187" spans="1:28" x14ac:dyDescent="0.25">
      <c r="A1187">
        <v>4403</v>
      </c>
      <c r="B1187" t="str">
        <f t="shared" si="197"/>
        <v>100201000</v>
      </c>
      <c r="C1187" t="s">
        <v>4163</v>
      </c>
      <c r="D1187">
        <v>5725</v>
      </c>
      <c r="E1187" t="str">
        <f>"100201419"</f>
        <v>100201419</v>
      </c>
      <c r="F1187" t="s">
        <v>4264</v>
      </c>
      <c r="G1187" t="s">
        <v>42</v>
      </c>
      <c r="H1187" t="s">
        <v>4164</v>
      </c>
      <c r="I1187" t="s">
        <v>4165</v>
      </c>
      <c r="J1187" t="s">
        <v>4166</v>
      </c>
      <c r="K1187" t="str">
        <f t="shared" si="198"/>
        <v>5202254700</v>
      </c>
      <c r="L1187" t="str">
        <f>""</f>
        <v/>
      </c>
      <c r="M1187" t="str">
        <f t="shared" si="196"/>
        <v>5202254867</v>
      </c>
      <c r="N1187" t="str">
        <f>""</f>
        <v/>
      </c>
      <c r="O1187" t="s">
        <v>4167</v>
      </c>
      <c r="P1187" t="s">
        <v>4168</v>
      </c>
      <c r="R1187" t="s">
        <v>4169</v>
      </c>
      <c r="S1187" t="s">
        <v>36</v>
      </c>
      <c r="T1187" t="str">
        <f t="shared" si="199"/>
        <v>85719</v>
      </c>
      <c r="U1187" t="str">
        <f>""</f>
        <v/>
      </c>
      <c r="V1187" t="s">
        <v>4265</v>
      </c>
      <c r="X1187" t="s">
        <v>4169</v>
      </c>
      <c r="Y1187" t="s">
        <v>36</v>
      </c>
      <c r="Z1187" t="str">
        <f>"85745"</f>
        <v>85745</v>
      </c>
      <c r="AA1187" t="str">
        <f>""</f>
        <v/>
      </c>
      <c r="AB1187" t="s">
        <v>516</v>
      </c>
    </row>
    <row r="1188" spans="1:28" x14ac:dyDescent="0.25">
      <c r="A1188">
        <v>4403</v>
      </c>
      <c r="B1188" t="str">
        <f t="shared" si="197"/>
        <v>100201000</v>
      </c>
      <c r="C1188" t="s">
        <v>4163</v>
      </c>
      <c r="D1188">
        <v>5726</v>
      </c>
      <c r="E1188" t="str">
        <f>"100201431"</f>
        <v>100201431</v>
      </c>
      <c r="F1188" t="s">
        <v>4266</v>
      </c>
      <c r="G1188" t="s">
        <v>42</v>
      </c>
      <c r="H1188" t="s">
        <v>4164</v>
      </c>
      <c r="I1188" t="s">
        <v>4165</v>
      </c>
      <c r="J1188" t="s">
        <v>4166</v>
      </c>
      <c r="K1188" t="str">
        <f t="shared" si="198"/>
        <v>5202254700</v>
      </c>
      <c r="L1188" t="str">
        <f>""</f>
        <v/>
      </c>
      <c r="M1188" t="str">
        <f t="shared" si="196"/>
        <v>5202254867</v>
      </c>
      <c r="N1188" t="str">
        <f>""</f>
        <v/>
      </c>
      <c r="O1188" t="s">
        <v>4167</v>
      </c>
      <c r="P1188" t="s">
        <v>4168</v>
      </c>
      <c r="R1188" t="s">
        <v>4169</v>
      </c>
      <c r="S1188" t="s">
        <v>36</v>
      </c>
      <c r="T1188" t="str">
        <f t="shared" si="199"/>
        <v>85719</v>
      </c>
      <c r="U1188" t="str">
        <f>""</f>
        <v/>
      </c>
      <c r="V1188" t="s">
        <v>4267</v>
      </c>
      <c r="X1188" t="s">
        <v>4169</v>
      </c>
      <c r="Y1188" t="s">
        <v>36</v>
      </c>
      <c r="Z1188" t="str">
        <f>"85714"</f>
        <v>85714</v>
      </c>
      <c r="AA1188" t="str">
        <f>""</f>
        <v/>
      </c>
      <c r="AB1188" t="s">
        <v>516</v>
      </c>
    </row>
    <row r="1189" spans="1:28" x14ac:dyDescent="0.25">
      <c r="A1189">
        <v>4403</v>
      </c>
      <c r="B1189" t="str">
        <f t="shared" si="197"/>
        <v>100201000</v>
      </c>
      <c r="C1189" t="s">
        <v>4163</v>
      </c>
      <c r="D1189">
        <v>5728</v>
      </c>
      <c r="E1189" t="str">
        <f>"100201435"</f>
        <v>100201435</v>
      </c>
      <c r="F1189" t="s">
        <v>4268</v>
      </c>
      <c r="G1189" t="s">
        <v>42</v>
      </c>
      <c r="H1189" t="s">
        <v>4164</v>
      </c>
      <c r="I1189" t="s">
        <v>4165</v>
      </c>
      <c r="J1189" t="s">
        <v>4166</v>
      </c>
      <c r="K1189" t="str">
        <f t="shared" si="198"/>
        <v>5202254700</v>
      </c>
      <c r="L1189" t="str">
        <f>""</f>
        <v/>
      </c>
      <c r="M1189" t="str">
        <f t="shared" si="196"/>
        <v>5202254867</v>
      </c>
      <c r="N1189" t="str">
        <f>""</f>
        <v/>
      </c>
      <c r="O1189" t="s">
        <v>4167</v>
      </c>
      <c r="P1189" t="s">
        <v>4168</v>
      </c>
      <c r="R1189" t="s">
        <v>4169</v>
      </c>
      <c r="S1189" t="s">
        <v>36</v>
      </c>
      <c r="T1189" t="str">
        <f t="shared" si="199"/>
        <v>85719</v>
      </c>
      <c r="U1189" t="str">
        <f>""</f>
        <v/>
      </c>
      <c r="V1189" t="s">
        <v>4269</v>
      </c>
      <c r="X1189" t="s">
        <v>4169</v>
      </c>
      <c r="Y1189" t="s">
        <v>36</v>
      </c>
      <c r="Z1189" t="str">
        <f>"85746"</f>
        <v>85746</v>
      </c>
      <c r="AA1189" t="str">
        <f>""</f>
        <v/>
      </c>
      <c r="AB1189" t="s">
        <v>516</v>
      </c>
    </row>
    <row r="1190" spans="1:28" x14ac:dyDescent="0.25">
      <c r="A1190">
        <v>4403</v>
      </c>
      <c r="B1190" t="str">
        <f t="shared" si="197"/>
        <v>100201000</v>
      </c>
      <c r="C1190" t="s">
        <v>4163</v>
      </c>
      <c r="D1190">
        <v>5729</v>
      </c>
      <c r="E1190" t="str">
        <f>"100201440"</f>
        <v>100201440</v>
      </c>
      <c r="F1190" t="s">
        <v>4270</v>
      </c>
      <c r="G1190" t="s">
        <v>42</v>
      </c>
      <c r="H1190" t="s">
        <v>4164</v>
      </c>
      <c r="I1190" t="s">
        <v>4165</v>
      </c>
      <c r="J1190" t="s">
        <v>4166</v>
      </c>
      <c r="K1190" t="str">
        <f t="shared" si="198"/>
        <v>5202254700</v>
      </c>
      <c r="L1190" t="str">
        <f>""</f>
        <v/>
      </c>
      <c r="M1190" t="str">
        <f t="shared" si="196"/>
        <v>5202254867</v>
      </c>
      <c r="N1190" t="str">
        <f>""</f>
        <v/>
      </c>
      <c r="O1190" t="s">
        <v>4167</v>
      </c>
      <c r="P1190" t="s">
        <v>4172</v>
      </c>
      <c r="R1190" t="s">
        <v>4169</v>
      </c>
      <c r="S1190" t="s">
        <v>36</v>
      </c>
      <c r="T1190" t="str">
        <f t="shared" si="199"/>
        <v>85719</v>
      </c>
      <c r="U1190" t="str">
        <f>""</f>
        <v/>
      </c>
      <c r="V1190" t="s">
        <v>4271</v>
      </c>
      <c r="X1190" t="s">
        <v>4169</v>
      </c>
      <c r="Y1190" t="s">
        <v>36</v>
      </c>
      <c r="Z1190" t="str">
        <f>"85746"</f>
        <v>85746</v>
      </c>
      <c r="AA1190" t="str">
        <f>""</f>
        <v/>
      </c>
      <c r="AB1190" t="s">
        <v>516</v>
      </c>
    </row>
    <row r="1191" spans="1:28" x14ac:dyDescent="0.25">
      <c r="A1191">
        <v>4403</v>
      </c>
      <c r="B1191" t="str">
        <f t="shared" si="197"/>
        <v>100201000</v>
      </c>
      <c r="C1191" t="s">
        <v>4163</v>
      </c>
      <c r="D1191">
        <v>5730</v>
      </c>
      <c r="E1191" t="str">
        <f>"100201443"</f>
        <v>100201443</v>
      </c>
      <c r="F1191" t="s">
        <v>4272</v>
      </c>
      <c r="G1191" t="s">
        <v>42</v>
      </c>
      <c r="H1191" t="s">
        <v>4164</v>
      </c>
      <c r="I1191" t="s">
        <v>4165</v>
      </c>
      <c r="J1191" t="s">
        <v>4166</v>
      </c>
      <c r="K1191" t="str">
        <f t="shared" si="198"/>
        <v>5202254700</v>
      </c>
      <c r="L1191" t="str">
        <f>""</f>
        <v/>
      </c>
      <c r="M1191" t="str">
        <f t="shared" si="196"/>
        <v>5202254867</v>
      </c>
      <c r="N1191" t="str">
        <f>""</f>
        <v/>
      </c>
      <c r="O1191" t="s">
        <v>4167</v>
      </c>
      <c r="P1191" t="s">
        <v>4168</v>
      </c>
      <c r="R1191" t="s">
        <v>4169</v>
      </c>
      <c r="S1191" t="s">
        <v>36</v>
      </c>
      <c r="T1191" t="str">
        <f t="shared" si="199"/>
        <v>85719</v>
      </c>
      <c r="U1191" t="str">
        <f>""</f>
        <v/>
      </c>
      <c r="V1191" t="s">
        <v>4273</v>
      </c>
      <c r="X1191" t="s">
        <v>4169</v>
      </c>
      <c r="Y1191" t="s">
        <v>36</v>
      </c>
      <c r="Z1191" t="str">
        <f>"85710"</f>
        <v>85710</v>
      </c>
      <c r="AA1191" t="str">
        <f>""</f>
        <v/>
      </c>
      <c r="AB1191" t="s">
        <v>516</v>
      </c>
    </row>
    <row r="1192" spans="1:28" x14ac:dyDescent="0.25">
      <c r="A1192">
        <v>4403</v>
      </c>
      <c r="B1192" t="str">
        <f t="shared" si="197"/>
        <v>100201000</v>
      </c>
      <c r="C1192" t="s">
        <v>4163</v>
      </c>
      <c r="D1192">
        <v>5731</v>
      </c>
      <c r="E1192" t="str">
        <f>"100201449"</f>
        <v>100201449</v>
      </c>
      <c r="F1192" t="s">
        <v>4274</v>
      </c>
      <c r="G1192" t="s">
        <v>42</v>
      </c>
      <c r="H1192" t="s">
        <v>4164</v>
      </c>
      <c r="I1192" t="s">
        <v>4165</v>
      </c>
      <c r="J1192" t="s">
        <v>4166</v>
      </c>
      <c r="K1192" t="str">
        <f t="shared" si="198"/>
        <v>5202254700</v>
      </c>
      <c r="L1192" t="str">
        <f>""</f>
        <v/>
      </c>
      <c r="M1192" t="str">
        <f t="shared" si="196"/>
        <v>5202254867</v>
      </c>
      <c r="N1192" t="str">
        <f>""</f>
        <v/>
      </c>
      <c r="O1192" t="s">
        <v>4167</v>
      </c>
      <c r="P1192" t="s">
        <v>4172</v>
      </c>
      <c r="R1192" t="s">
        <v>4169</v>
      </c>
      <c r="S1192" t="s">
        <v>36</v>
      </c>
      <c r="T1192" t="str">
        <f t="shared" si="199"/>
        <v>85719</v>
      </c>
      <c r="U1192" t="str">
        <f>""</f>
        <v/>
      </c>
      <c r="V1192" t="s">
        <v>4275</v>
      </c>
      <c r="X1192" t="s">
        <v>4169</v>
      </c>
      <c r="Y1192" t="s">
        <v>36</v>
      </c>
      <c r="Z1192" t="str">
        <f>"85746"</f>
        <v>85746</v>
      </c>
      <c r="AA1192" t="str">
        <f>""</f>
        <v/>
      </c>
      <c r="AB1192" t="s">
        <v>516</v>
      </c>
    </row>
    <row r="1193" spans="1:28" x14ac:dyDescent="0.25">
      <c r="A1193">
        <v>4403</v>
      </c>
      <c r="B1193" t="str">
        <f t="shared" si="197"/>
        <v>100201000</v>
      </c>
      <c r="C1193" t="s">
        <v>4163</v>
      </c>
      <c r="D1193">
        <v>5732</v>
      </c>
      <c r="E1193" t="str">
        <f>"100201455"</f>
        <v>100201455</v>
      </c>
      <c r="F1193" t="s">
        <v>4276</v>
      </c>
      <c r="G1193" t="s">
        <v>42</v>
      </c>
      <c r="H1193" t="s">
        <v>4164</v>
      </c>
      <c r="I1193" t="s">
        <v>4165</v>
      </c>
      <c r="J1193" t="s">
        <v>4166</v>
      </c>
      <c r="K1193" t="str">
        <f t="shared" si="198"/>
        <v>5202254700</v>
      </c>
      <c r="L1193" t="str">
        <f>""</f>
        <v/>
      </c>
      <c r="M1193" t="str">
        <f t="shared" si="196"/>
        <v>5202254867</v>
      </c>
      <c r="N1193" t="str">
        <f>""</f>
        <v/>
      </c>
      <c r="O1193" t="s">
        <v>4167</v>
      </c>
      <c r="P1193" t="s">
        <v>4168</v>
      </c>
      <c r="R1193" t="s">
        <v>4169</v>
      </c>
      <c r="S1193" t="s">
        <v>36</v>
      </c>
      <c r="T1193" t="str">
        <f t="shared" si="199"/>
        <v>85719</v>
      </c>
      <c r="U1193" t="str">
        <f>""</f>
        <v/>
      </c>
      <c r="V1193" t="s">
        <v>4277</v>
      </c>
      <c r="X1193" t="s">
        <v>4169</v>
      </c>
      <c r="Y1193" t="s">
        <v>36</v>
      </c>
      <c r="Z1193" t="str">
        <f>"85712"</f>
        <v>85712</v>
      </c>
      <c r="AA1193" t="str">
        <f>""</f>
        <v/>
      </c>
      <c r="AB1193" t="s">
        <v>516</v>
      </c>
    </row>
    <row r="1194" spans="1:28" x14ac:dyDescent="0.25">
      <c r="A1194">
        <v>4403</v>
      </c>
      <c r="B1194" t="str">
        <f t="shared" si="197"/>
        <v>100201000</v>
      </c>
      <c r="C1194" t="s">
        <v>4163</v>
      </c>
      <c r="D1194">
        <v>5733</v>
      </c>
      <c r="E1194" t="str">
        <f>"100201461"</f>
        <v>100201461</v>
      </c>
      <c r="F1194" t="s">
        <v>4278</v>
      </c>
      <c r="G1194" t="s">
        <v>42</v>
      </c>
      <c r="H1194" t="s">
        <v>4164</v>
      </c>
      <c r="I1194" t="s">
        <v>4165</v>
      </c>
      <c r="J1194" t="s">
        <v>4166</v>
      </c>
      <c r="K1194" t="str">
        <f t="shared" si="198"/>
        <v>5202254700</v>
      </c>
      <c r="L1194" t="str">
        <f>""</f>
        <v/>
      </c>
      <c r="M1194" t="str">
        <f t="shared" si="196"/>
        <v>5202254867</v>
      </c>
      <c r="N1194" t="str">
        <f>""</f>
        <v/>
      </c>
      <c r="O1194" t="s">
        <v>4167</v>
      </c>
      <c r="P1194" t="s">
        <v>4172</v>
      </c>
      <c r="R1194" t="s">
        <v>4169</v>
      </c>
      <c r="S1194" t="s">
        <v>36</v>
      </c>
      <c r="T1194" t="str">
        <f t="shared" si="199"/>
        <v>85719</v>
      </c>
      <c r="U1194" t="str">
        <f>""</f>
        <v/>
      </c>
      <c r="V1194" t="s">
        <v>4279</v>
      </c>
      <c r="X1194" t="s">
        <v>4169</v>
      </c>
      <c r="Y1194" t="s">
        <v>36</v>
      </c>
      <c r="Z1194" t="str">
        <f>"85712"</f>
        <v>85712</v>
      </c>
      <c r="AA1194" t="str">
        <f>""</f>
        <v/>
      </c>
      <c r="AB1194" t="s">
        <v>516</v>
      </c>
    </row>
    <row r="1195" spans="1:28" x14ac:dyDescent="0.25">
      <c r="A1195">
        <v>4403</v>
      </c>
      <c r="B1195" t="str">
        <f t="shared" si="197"/>
        <v>100201000</v>
      </c>
      <c r="C1195" t="s">
        <v>4163</v>
      </c>
      <c r="D1195">
        <v>5735</v>
      </c>
      <c r="E1195" t="str">
        <f>"100201502"</f>
        <v>100201502</v>
      </c>
      <c r="F1195" t="s">
        <v>4280</v>
      </c>
      <c r="G1195" t="s">
        <v>42</v>
      </c>
      <c r="H1195" t="s">
        <v>4164</v>
      </c>
      <c r="I1195" t="s">
        <v>4165</v>
      </c>
      <c r="J1195" t="s">
        <v>4166</v>
      </c>
      <c r="K1195" t="str">
        <f t="shared" si="198"/>
        <v>5202254700</v>
      </c>
      <c r="L1195" t="str">
        <f>""</f>
        <v/>
      </c>
      <c r="M1195" t="str">
        <f t="shared" si="196"/>
        <v>5202254867</v>
      </c>
      <c r="N1195" t="str">
        <f>""</f>
        <v/>
      </c>
      <c r="O1195" t="s">
        <v>4167</v>
      </c>
      <c r="P1195" t="s">
        <v>4172</v>
      </c>
      <c r="R1195" t="s">
        <v>4169</v>
      </c>
      <c r="S1195" t="s">
        <v>36</v>
      </c>
      <c r="T1195" t="str">
        <f t="shared" si="199"/>
        <v>85719</v>
      </c>
      <c r="U1195" t="str">
        <f>""</f>
        <v/>
      </c>
      <c r="V1195" t="s">
        <v>4281</v>
      </c>
      <c r="X1195" t="s">
        <v>4169</v>
      </c>
      <c r="Y1195" t="s">
        <v>36</v>
      </c>
      <c r="Z1195" t="str">
        <f>"85712"</f>
        <v>85712</v>
      </c>
      <c r="AA1195" t="str">
        <f>""</f>
        <v/>
      </c>
      <c r="AB1195" t="s">
        <v>516</v>
      </c>
    </row>
    <row r="1196" spans="1:28" x14ac:dyDescent="0.25">
      <c r="A1196">
        <v>4403</v>
      </c>
      <c r="B1196" t="str">
        <f t="shared" si="197"/>
        <v>100201000</v>
      </c>
      <c r="C1196" t="s">
        <v>4163</v>
      </c>
      <c r="D1196">
        <v>5737</v>
      </c>
      <c r="E1196" t="str">
        <f>"100201505"</f>
        <v>100201505</v>
      </c>
      <c r="F1196" t="s">
        <v>4282</v>
      </c>
      <c r="G1196" t="s">
        <v>42</v>
      </c>
      <c r="H1196" t="s">
        <v>4164</v>
      </c>
      <c r="I1196" t="s">
        <v>4165</v>
      </c>
      <c r="J1196" t="s">
        <v>4166</v>
      </c>
      <c r="K1196" t="str">
        <f t="shared" si="198"/>
        <v>5202254700</v>
      </c>
      <c r="L1196" t="str">
        <f>""</f>
        <v/>
      </c>
      <c r="M1196" t="str">
        <f t="shared" si="196"/>
        <v>5202254867</v>
      </c>
      <c r="N1196" t="str">
        <f>""</f>
        <v/>
      </c>
      <c r="O1196" t="s">
        <v>4167</v>
      </c>
      <c r="P1196" t="s">
        <v>4172</v>
      </c>
      <c r="R1196" t="s">
        <v>4169</v>
      </c>
      <c r="S1196" t="s">
        <v>36</v>
      </c>
      <c r="T1196" t="str">
        <f t="shared" si="199"/>
        <v>85719</v>
      </c>
      <c r="U1196" t="str">
        <f>""</f>
        <v/>
      </c>
      <c r="V1196" t="s">
        <v>4283</v>
      </c>
      <c r="X1196" t="s">
        <v>4169</v>
      </c>
      <c r="Y1196" t="s">
        <v>36</v>
      </c>
      <c r="Z1196" t="str">
        <f>"85716"</f>
        <v>85716</v>
      </c>
      <c r="AA1196" t="str">
        <f>""</f>
        <v/>
      </c>
      <c r="AB1196" t="s">
        <v>516</v>
      </c>
    </row>
    <row r="1197" spans="1:28" x14ac:dyDescent="0.25">
      <c r="A1197">
        <v>4403</v>
      </c>
      <c r="B1197" t="str">
        <f t="shared" si="197"/>
        <v>100201000</v>
      </c>
      <c r="C1197" t="s">
        <v>4163</v>
      </c>
      <c r="D1197">
        <v>5738</v>
      </c>
      <c r="E1197" t="str">
        <f>"100201510"</f>
        <v>100201510</v>
      </c>
      <c r="F1197" t="s">
        <v>4284</v>
      </c>
      <c r="G1197" t="s">
        <v>42</v>
      </c>
      <c r="H1197" t="s">
        <v>4164</v>
      </c>
      <c r="I1197" t="s">
        <v>4165</v>
      </c>
      <c r="J1197" t="s">
        <v>4166</v>
      </c>
      <c r="K1197" t="str">
        <f t="shared" si="198"/>
        <v>5202254700</v>
      </c>
      <c r="L1197" t="str">
        <f>""</f>
        <v/>
      </c>
      <c r="M1197" t="str">
        <f t="shared" si="196"/>
        <v>5202254867</v>
      </c>
      <c r="N1197" t="str">
        <f>""</f>
        <v/>
      </c>
      <c r="O1197" t="s">
        <v>4167</v>
      </c>
      <c r="P1197" t="s">
        <v>4172</v>
      </c>
      <c r="R1197" t="s">
        <v>4169</v>
      </c>
      <c r="S1197" t="s">
        <v>36</v>
      </c>
      <c r="T1197" t="str">
        <f t="shared" si="199"/>
        <v>85719</v>
      </c>
      <c r="U1197" t="str">
        <f>""</f>
        <v/>
      </c>
      <c r="V1197" t="s">
        <v>4285</v>
      </c>
      <c r="X1197" t="s">
        <v>4169</v>
      </c>
      <c r="Y1197" t="s">
        <v>36</v>
      </c>
      <c r="Z1197" t="str">
        <f>"85710"</f>
        <v>85710</v>
      </c>
      <c r="AA1197" t="str">
        <f>""</f>
        <v/>
      </c>
      <c r="AB1197" t="s">
        <v>516</v>
      </c>
    </row>
    <row r="1198" spans="1:28" x14ac:dyDescent="0.25">
      <c r="A1198">
        <v>4403</v>
      </c>
      <c r="B1198" t="str">
        <f t="shared" si="197"/>
        <v>100201000</v>
      </c>
      <c r="C1198" t="s">
        <v>4163</v>
      </c>
      <c r="D1198">
        <v>5739</v>
      </c>
      <c r="E1198" t="str">
        <f>"100201511"</f>
        <v>100201511</v>
      </c>
      <c r="F1198" t="s">
        <v>4286</v>
      </c>
      <c r="G1198" t="s">
        <v>42</v>
      </c>
      <c r="H1198" t="s">
        <v>4164</v>
      </c>
      <c r="I1198" t="s">
        <v>4165</v>
      </c>
      <c r="J1198" t="s">
        <v>4166</v>
      </c>
      <c r="K1198" t="str">
        <f t="shared" si="198"/>
        <v>5202254700</v>
      </c>
      <c r="L1198" t="str">
        <f>""</f>
        <v/>
      </c>
      <c r="M1198" t="str">
        <f t="shared" si="196"/>
        <v>5202254867</v>
      </c>
      <c r="N1198" t="str">
        <f>""</f>
        <v/>
      </c>
      <c r="O1198" t="s">
        <v>4167</v>
      </c>
      <c r="P1198" t="s">
        <v>4168</v>
      </c>
      <c r="R1198" t="s">
        <v>4169</v>
      </c>
      <c r="S1198" t="s">
        <v>36</v>
      </c>
      <c r="T1198" t="str">
        <f t="shared" si="199"/>
        <v>85719</v>
      </c>
      <c r="U1198" t="str">
        <f>""</f>
        <v/>
      </c>
      <c r="V1198" t="s">
        <v>4287</v>
      </c>
      <c r="X1198" t="s">
        <v>4169</v>
      </c>
      <c r="Y1198" t="s">
        <v>36</v>
      </c>
      <c r="Z1198" t="str">
        <f>"85748"</f>
        <v>85748</v>
      </c>
      <c r="AA1198" t="str">
        <f>""</f>
        <v/>
      </c>
      <c r="AB1198" t="s">
        <v>516</v>
      </c>
    </row>
    <row r="1199" spans="1:28" x14ac:dyDescent="0.25">
      <c r="A1199">
        <v>4403</v>
      </c>
      <c r="B1199" t="str">
        <f t="shared" si="197"/>
        <v>100201000</v>
      </c>
      <c r="C1199" t="s">
        <v>4163</v>
      </c>
      <c r="D1199">
        <v>5741</v>
      </c>
      <c r="E1199" t="str">
        <f>"100201515"</f>
        <v>100201515</v>
      </c>
      <c r="F1199" t="s">
        <v>4288</v>
      </c>
      <c r="G1199" t="s">
        <v>42</v>
      </c>
      <c r="H1199" t="s">
        <v>4164</v>
      </c>
      <c r="I1199" t="s">
        <v>4165</v>
      </c>
      <c r="J1199" t="s">
        <v>4166</v>
      </c>
      <c r="K1199" t="str">
        <f t="shared" si="198"/>
        <v>5202254700</v>
      </c>
      <c r="L1199" t="str">
        <f>""</f>
        <v/>
      </c>
      <c r="M1199" t="str">
        <f t="shared" si="196"/>
        <v>5202254867</v>
      </c>
      <c r="N1199" t="str">
        <f>""</f>
        <v/>
      </c>
      <c r="O1199" t="s">
        <v>4167</v>
      </c>
      <c r="P1199" t="s">
        <v>4168</v>
      </c>
      <c r="R1199" t="s">
        <v>4169</v>
      </c>
      <c r="S1199" t="s">
        <v>36</v>
      </c>
      <c r="T1199" t="str">
        <f t="shared" si="199"/>
        <v>85719</v>
      </c>
      <c r="U1199" t="str">
        <f>""</f>
        <v/>
      </c>
      <c r="V1199" t="s">
        <v>4289</v>
      </c>
      <c r="X1199" t="s">
        <v>4169</v>
      </c>
      <c r="Y1199" t="s">
        <v>36</v>
      </c>
      <c r="Z1199" t="str">
        <f>"85710"</f>
        <v>85710</v>
      </c>
      <c r="AA1199" t="str">
        <f>""</f>
        <v/>
      </c>
      <c r="AB1199" t="s">
        <v>516</v>
      </c>
    </row>
    <row r="1200" spans="1:28" x14ac:dyDescent="0.25">
      <c r="A1200">
        <v>4403</v>
      </c>
      <c r="B1200" t="str">
        <f t="shared" si="197"/>
        <v>100201000</v>
      </c>
      <c r="C1200" t="s">
        <v>4163</v>
      </c>
      <c r="D1200">
        <v>5742</v>
      </c>
      <c r="E1200" t="str">
        <f>"100201520"</f>
        <v>100201520</v>
      </c>
      <c r="F1200" t="s">
        <v>4290</v>
      </c>
      <c r="G1200" t="s">
        <v>42</v>
      </c>
      <c r="H1200" t="s">
        <v>4164</v>
      </c>
      <c r="I1200" t="s">
        <v>4165</v>
      </c>
      <c r="J1200" t="s">
        <v>4166</v>
      </c>
      <c r="K1200" t="str">
        <f t="shared" si="198"/>
        <v>5202254700</v>
      </c>
      <c r="L1200" t="str">
        <f>""</f>
        <v/>
      </c>
      <c r="M1200" t="str">
        <f t="shared" ref="M1200:M1224" si="200">"5202254867"</f>
        <v>5202254867</v>
      </c>
      <c r="N1200" t="str">
        <f>""</f>
        <v/>
      </c>
      <c r="O1200" t="s">
        <v>4167</v>
      </c>
      <c r="P1200" t="s">
        <v>4168</v>
      </c>
      <c r="R1200" t="s">
        <v>4169</v>
      </c>
      <c r="S1200" t="s">
        <v>36</v>
      </c>
      <c r="T1200" t="str">
        <f t="shared" si="199"/>
        <v>85719</v>
      </c>
      <c r="U1200" t="str">
        <f>""</f>
        <v/>
      </c>
      <c r="V1200" t="s">
        <v>4291</v>
      </c>
      <c r="X1200" t="s">
        <v>4292</v>
      </c>
      <c r="Y1200" t="s">
        <v>36</v>
      </c>
      <c r="Z1200" t="str">
        <f>"85719"</f>
        <v>85719</v>
      </c>
      <c r="AA1200" t="str">
        <f>""</f>
        <v/>
      </c>
      <c r="AB1200" t="s">
        <v>516</v>
      </c>
    </row>
    <row r="1201" spans="1:28" x14ac:dyDescent="0.25">
      <c r="A1201">
        <v>4403</v>
      </c>
      <c r="B1201" t="str">
        <f t="shared" si="197"/>
        <v>100201000</v>
      </c>
      <c r="C1201" t="s">
        <v>4163</v>
      </c>
      <c r="D1201">
        <v>5744</v>
      </c>
      <c r="E1201" t="str">
        <f>"100201525"</f>
        <v>100201525</v>
      </c>
      <c r="F1201" t="s">
        <v>4293</v>
      </c>
      <c r="G1201" t="s">
        <v>42</v>
      </c>
      <c r="H1201" t="s">
        <v>4164</v>
      </c>
      <c r="I1201" t="s">
        <v>4165</v>
      </c>
      <c r="J1201" t="s">
        <v>4166</v>
      </c>
      <c r="K1201" t="str">
        <f t="shared" si="198"/>
        <v>5202254700</v>
      </c>
      <c r="L1201" t="str">
        <f>""</f>
        <v/>
      </c>
      <c r="M1201" t="str">
        <f t="shared" si="200"/>
        <v>5202254867</v>
      </c>
      <c r="N1201" t="str">
        <f>""</f>
        <v/>
      </c>
      <c r="O1201" t="s">
        <v>4167</v>
      </c>
      <c r="P1201" t="s">
        <v>4294</v>
      </c>
      <c r="R1201" t="s">
        <v>4169</v>
      </c>
      <c r="S1201" t="s">
        <v>36</v>
      </c>
      <c r="T1201" t="str">
        <f t="shared" si="199"/>
        <v>85719</v>
      </c>
      <c r="U1201" t="str">
        <f>""</f>
        <v/>
      </c>
      <c r="V1201" t="s">
        <v>4295</v>
      </c>
      <c r="X1201" t="s">
        <v>4169</v>
      </c>
      <c r="Y1201" t="s">
        <v>36</v>
      </c>
      <c r="Z1201" t="str">
        <f>"85711"</f>
        <v>85711</v>
      </c>
      <c r="AA1201" t="str">
        <f>""</f>
        <v/>
      </c>
      <c r="AB1201" t="s">
        <v>516</v>
      </c>
    </row>
    <row r="1202" spans="1:28" x14ac:dyDescent="0.25">
      <c r="A1202">
        <v>4403</v>
      </c>
      <c r="B1202" t="str">
        <f t="shared" si="197"/>
        <v>100201000</v>
      </c>
      <c r="C1202" t="s">
        <v>4163</v>
      </c>
      <c r="D1202">
        <v>5745</v>
      </c>
      <c r="E1202" t="str">
        <f>"100201527"</f>
        <v>100201527</v>
      </c>
      <c r="F1202" t="s">
        <v>4296</v>
      </c>
      <c r="G1202" t="s">
        <v>42</v>
      </c>
      <c r="H1202" t="s">
        <v>4164</v>
      </c>
      <c r="I1202" t="s">
        <v>4165</v>
      </c>
      <c r="J1202" t="s">
        <v>4166</v>
      </c>
      <c r="K1202" t="str">
        <f t="shared" si="198"/>
        <v>5202254700</v>
      </c>
      <c r="L1202" t="str">
        <f>""</f>
        <v/>
      </c>
      <c r="M1202" t="str">
        <f t="shared" si="200"/>
        <v>5202254867</v>
      </c>
      <c r="N1202" t="str">
        <f>""</f>
        <v/>
      </c>
      <c r="O1202" t="s">
        <v>4167</v>
      </c>
      <c r="P1202" t="s">
        <v>4168</v>
      </c>
      <c r="R1202" t="s">
        <v>4169</v>
      </c>
      <c r="S1202" t="s">
        <v>36</v>
      </c>
      <c r="T1202" t="str">
        <f t="shared" si="199"/>
        <v>85719</v>
      </c>
      <c r="U1202" t="str">
        <f>""</f>
        <v/>
      </c>
      <c r="V1202" t="s">
        <v>4297</v>
      </c>
      <c r="X1202" t="s">
        <v>4169</v>
      </c>
      <c r="Y1202" t="s">
        <v>36</v>
      </c>
      <c r="Z1202" t="str">
        <f>"85746"</f>
        <v>85746</v>
      </c>
      <c r="AA1202" t="str">
        <f>""</f>
        <v/>
      </c>
      <c r="AB1202" t="s">
        <v>516</v>
      </c>
    </row>
    <row r="1203" spans="1:28" x14ac:dyDescent="0.25">
      <c r="A1203">
        <v>4403</v>
      </c>
      <c r="B1203" t="str">
        <f t="shared" si="197"/>
        <v>100201000</v>
      </c>
      <c r="C1203" t="s">
        <v>4163</v>
      </c>
      <c r="D1203">
        <v>5746</v>
      </c>
      <c r="E1203" t="str">
        <f>"100201535"</f>
        <v>100201535</v>
      </c>
      <c r="F1203" t="s">
        <v>4298</v>
      </c>
      <c r="G1203" t="s">
        <v>42</v>
      </c>
      <c r="H1203" t="s">
        <v>4164</v>
      </c>
      <c r="I1203" t="s">
        <v>4165</v>
      </c>
      <c r="J1203" t="s">
        <v>4166</v>
      </c>
      <c r="K1203" t="str">
        <f t="shared" si="198"/>
        <v>5202254700</v>
      </c>
      <c r="L1203" t="str">
        <f>""</f>
        <v/>
      </c>
      <c r="M1203" t="str">
        <f t="shared" si="200"/>
        <v>5202254867</v>
      </c>
      <c r="N1203" t="str">
        <f>""</f>
        <v/>
      </c>
      <c r="O1203" t="s">
        <v>4167</v>
      </c>
      <c r="P1203" t="s">
        <v>4168</v>
      </c>
      <c r="R1203" t="s">
        <v>4169</v>
      </c>
      <c r="S1203" t="s">
        <v>36</v>
      </c>
      <c r="T1203" t="str">
        <f t="shared" si="199"/>
        <v>85719</v>
      </c>
      <c r="U1203" t="str">
        <f>""</f>
        <v/>
      </c>
      <c r="V1203" t="s">
        <v>4299</v>
      </c>
      <c r="X1203" t="s">
        <v>4169</v>
      </c>
      <c r="Y1203" t="s">
        <v>36</v>
      </c>
      <c r="Z1203" t="str">
        <f>"85701"</f>
        <v>85701</v>
      </c>
      <c r="AA1203" t="str">
        <f>""</f>
        <v/>
      </c>
      <c r="AB1203" t="s">
        <v>516</v>
      </c>
    </row>
    <row r="1204" spans="1:28" x14ac:dyDescent="0.25">
      <c r="A1204">
        <v>4403</v>
      </c>
      <c r="B1204" t="str">
        <f t="shared" ref="B1204:B1225" si="201">"100201000"</f>
        <v>100201000</v>
      </c>
      <c r="C1204" t="s">
        <v>4163</v>
      </c>
      <c r="D1204">
        <v>5747</v>
      </c>
      <c r="E1204" t="str">
        <f>"100201537"</f>
        <v>100201537</v>
      </c>
      <c r="F1204" t="s">
        <v>4300</v>
      </c>
      <c r="G1204" t="s">
        <v>42</v>
      </c>
      <c r="H1204" t="s">
        <v>4164</v>
      </c>
      <c r="I1204" t="s">
        <v>4165</v>
      </c>
      <c r="J1204" t="s">
        <v>4166</v>
      </c>
      <c r="K1204" t="str">
        <f t="shared" ref="K1204:K1225" si="202">"5202254700"</f>
        <v>5202254700</v>
      </c>
      <c r="L1204" t="str">
        <f>""</f>
        <v/>
      </c>
      <c r="M1204" t="str">
        <f t="shared" si="200"/>
        <v>5202254867</v>
      </c>
      <c r="N1204" t="str">
        <f>""</f>
        <v/>
      </c>
      <c r="O1204" t="s">
        <v>4167</v>
      </c>
      <c r="P1204" t="s">
        <v>4168</v>
      </c>
      <c r="R1204" t="s">
        <v>4169</v>
      </c>
      <c r="S1204" t="s">
        <v>36</v>
      </c>
      <c r="T1204" t="str">
        <f t="shared" si="199"/>
        <v>85719</v>
      </c>
      <c r="U1204" t="str">
        <f>""</f>
        <v/>
      </c>
      <c r="V1204" t="s">
        <v>4301</v>
      </c>
      <c r="X1204" t="s">
        <v>4169</v>
      </c>
      <c r="Y1204" t="s">
        <v>36</v>
      </c>
      <c r="Z1204" t="str">
        <f>"85730"</f>
        <v>85730</v>
      </c>
      <c r="AA1204" t="str">
        <f>""</f>
        <v/>
      </c>
      <c r="AB1204" t="s">
        <v>516</v>
      </c>
    </row>
    <row r="1205" spans="1:28" x14ac:dyDescent="0.25">
      <c r="A1205">
        <v>4403</v>
      </c>
      <c r="B1205" t="str">
        <f t="shared" si="201"/>
        <v>100201000</v>
      </c>
      <c r="C1205" t="s">
        <v>4163</v>
      </c>
      <c r="D1205">
        <v>5749</v>
      </c>
      <c r="E1205" t="str">
        <f>"100201550"</f>
        <v>100201550</v>
      </c>
      <c r="F1205" t="s">
        <v>4302</v>
      </c>
      <c r="G1205" t="s">
        <v>42</v>
      </c>
      <c r="H1205" t="s">
        <v>4164</v>
      </c>
      <c r="I1205" t="s">
        <v>4165</v>
      </c>
      <c r="J1205" t="s">
        <v>4166</v>
      </c>
      <c r="K1205" t="str">
        <f t="shared" si="202"/>
        <v>5202254700</v>
      </c>
      <c r="L1205" t="str">
        <f>""</f>
        <v/>
      </c>
      <c r="M1205" t="str">
        <f t="shared" si="200"/>
        <v>5202254867</v>
      </c>
      <c r="N1205" t="str">
        <f>""</f>
        <v/>
      </c>
      <c r="O1205" t="s">
        <v>4167</v>
      </c>
      <c r="P1205" t="s">
        <v>4168</v>
      </c>
      <c r="R1205" t="s">
        <v>4169</v>
      </c>
      <c r="S1205" t="s">
        <v>36</v>
      </c>
      <c r="T1205" t="str">
        <f>"85713"</f>
        <v>85713</v>
      </c>
      <c r="U1205" t="str">
        <f>""</f>
        <v/>
      </c>
      <c r="V1205" t="s">
        <v>4303</v>
      </c>
      <c r="X1205" t="s">
        <v>4169</v>
      </c>
      <c r="Y1205" t="s">
        <v>36</v>
      </c>
      <c r="Z1205" t="str">
        <f>"85713"</f>
        <v>85713</v>
      </c>
      <c r="AA1205" t="str">
        <f>""</f>
        <v/>
      </c>
      <c r="AB1205" t="s">
        <v>516</v>
      </c>
    </row>
    <row r="1206" spans="1:28" x14ac:dyDescent="0.25">
      <c r="A1206">
        <v>4403</v>
      </c>
      <c r="B1206" t="str">
        <f t="shared" si="201"/>
        <v>100201000</v>
      </c>
      <c r="C1206" t="s">
        <v>4163</v>
      </c>
      <c r="D1206">
        <v>5750</v>
      </c>
      <c r="E1206" t="str">
        <f>"100201555"</f>
        <v>100201555</v>
      </c>
      <c r="F1206" t="s">
        <v>4304</v>
      </c>
      <c r="G1206" t="s">
        <v>42</v>
      </c>
      <c r="H1206" t="s">
        <v>4164</v>
      </c>
      <c r="I1206" t="s">
        <v>4165</v>
      </c>
      <c r="J1206" t="s">
        <v>4166</v>
      </c>
      <c r="K1206" t="str">
        <f t="shared" si="202"/>
        <v>5202254700</v>
      </c>
      <c r="L1206" t="str">
        <f>""</f>
        <v/>
      </c>
      <c r="M1206" t="str">
        <f t="shared" si="200"/>
        <v>5202254867</v>
      </c>
      <c r="N1206" t="str">
        <f>""</f>
        <v/>
      </c>
      <c r="O1206" t="s">
        <v>4167</v>
      </c>
      <c r="P1206" t="s">
        <v>4172</v>
      </c>
      <c r="R1206" t="s">
        <v>4169</v>
      </c>
      <c r="S1206" t="s">
        <v>36</v>
      </c>
      <c r="T1206" t="str">
        <f t="shared" ref="T1206:T1225" si="203">"85719"</f>
        <v>85719</v>
      </c>
      <c r="U1206" t="str">
        <f>""</f>
        <v/>
      </c>
      <c r="V1206" t="s">
        <v>4305</v>
      </c>
      <c r="X1206" t="s">
        <v>4169</v>
      </c>
      <c r="Y1206" t="s">
        <v>36</v>
      </c>
      <c r="Z1206" t="str">
        <f>"85711"</f>
        <v>85711</v>
      </c>
      <c r="AA1206" t="str">
        <f>""</f>
        <v/>
      </c>
      <c r="AB1206" t="s">
        <v>516</v>
      </c>
    </row>
    <row r="1207" spans="1:28" x14ac:dyDescent="0.25">
      <c r="A1207">
        <v>4403</v>
      </c>
      <c r="B1207" t="str">
        <f t="shared" si="201"/>
        <v>100201000</v>
      </c>
      <c r="C1207" t="s">
        <v>4163</v>
      </c>
      <c r="D1207">
        <v>5751</v>
      </c>
      <c r="E1207" t="str">
        <f>"100201557"</f>
        <v>100201557</v>
      </c>
      <c r="F1207" t="s">
        <v>4306</v>
      </c>
      <c r="G1207" t="s">
        <v>42</v>
      </c>
      <c r="H1207" t="s">
        <v>4164</v>
      </c>
      <c r="I1207" t="s">
        <v>4165</v>
      </c>
      <c r="J1207" t="s">
        <v>4166</v>
      </c>
      <c r="K1207" t="str">
        <f t="shared" si="202"/>
        <v>5202254700</v>
      </c>
      <c r="L1207" t="str">
        <f>""</f>
        <v/>
      </c>
      <c r="M1207" t="str">
        <f t="shared" si="200"/>
        <v>5202254867</v>
      </c>
      <c r="N1207" t="str">
        <f>""</f>
        <v/>
      </c>
      <c r="O1207" t="s">
        <v>4167</v>
      </c>
      <c r="P1207" t="s">
        <v>4168</v>
      </c>
      <c r="R1207" t="s">
        <v>4169</v>
      </c>
      <c r="S1207" t="s">
        <v>36</v>
      </c>
      <c r="T1207" t="str">
        <f t="shared" si="203"/>
        <v>85719</v>
      </c>
      <c r="U1207" t="str">
        <f>""</f>
        <v/>
      </c>
      <c r="V1207" t="s">
        <v>4307</v>
      </c>
      <c r="X1207" t="s">
        <v>4169</v>
      </c>
      <c r="Y1207" t="s">
        <v>36</v>
      </c>
      <c r="Z1207" t="str">
        <f>"85746"</f>
        <v>85746</v>
      </c>
      <c r="AA1207" t="str">
        <f>""</f>
        <v/>
      </c>
      <c r="AB1207" t="s">
        <v>516</v>
      </c>
    </row>
    <row r="1208" spans="1:28" x14ac:dyDescent="0.25">
      <c r="A1208">
        <v>4403</v>
      </c>
      <c r="B1208" t="str">
        <f t="shared" si="201"/>
        <v>100201000</v>
      </c>
      <c r="C1208" t="s">
        <v>4163</v>
      </c>
      <c r="D1208">
        <v>5754</v>
      </c>
      <c r="E1208" t="str">
        <f>"100201580"</f>
        <v>100201580</v>
      </c>
      <c r="F1208" t="s">
        <v>4308</v>
      </c>
      <c r="G1208" t="s">
        <v>42</v>
      </c>
      <c r="H1208" t="s">
        <v>4164</v>
      </c>
      <c r="I1208" t="s">
        <v>4165</v>
      </c>
      <c r="J1208" t="s">
        <v>4166</v>
      </c>
      <c r="K1208" t="str">
        <f t="shared" si="202"/>
        <v>5202254700</v>
      </c>
      <c r="L1208" t="str">
        <f>""</f>
        <v/>
      </c>
      <c r="M1208" t="str">
        <f t="shared" si="200"/>
        <v>5202254867</v>
      </c>
      <c r="N1208" t="str">
        <f>""</f>
        <v/>
      </c>
      <c r="O1208" t="s">
        <v>4167</v>
      </c>
      <c r="P1208" t="s">
        <v>4168</v>
      </c>
      <c r="R1208" t="s">
        <v>4169</v>
      </c>
      <c r="S1208" t="s">
        <v>36</v>
      </c>
      <c r="T1208" t="str">
        <f t="shared" si="203"/>
        <v>85719</v>
      </c>
      <c r="U1208" t="str">
        <f>""</f>
        <v/>
      </c>
      <c r="V1208" t="s">
        <v>4309</v>
      </c>
      <c r="X1208" t="s">
        <v>4169</v>
      </c>
      <c r="Y1208" t="s">
        <v>36</v>
      </c>
      <c r="Z1208" t="str">
        <f>"85746"</f>
        <v>85746</v>
      </c>
      <c r="AA1208" t="str">
        <f>""</f>
        <v/>
      </c>
      <c r="AB1208" t="s">
        <v>516</v>
      </c>
    </row>
    <row r="1209" spans="1:28" x14ac:dyDescent="0.25">
      <c r="A1209">
        <v>4403</v>
      </c>
      <c r="B1209" t="str">
        <f t="shared" si="201"/>
        <v>100201000</v>
      </c>
      <c r="C1209" t="s">
        <v>4163</v>
      </c>
      <c r="D1209">
        <v>5755</v>
      </c>
      <c r="E1209" t="str">
        <f>"100201595"</f>
        <v>100201595</v>
      </c>
      <c r="F1209" t="s">
        <v>4310</v>
      </c>
      <c r="G1209" t="s">
        <v>42</v>
      </c>
      <c r="H1209" t="s">
        <v>4164</v>
      </c>
      <c r="I1209" t="s">
        <v>4165</v>
      </c>
      <c r="J1209" t="s">
        <v>4166</v>
      </c>
      <c r="K1209" t="str">
        <f t="shared" si="202"/>
        <v>5202254700</v>
      </c>
      <c r="L1209" t="str">
        <f>""</f>
        <v/>
      </c>
      <c r="M1209" t="str">
        <f t="shared" si="200"/>
        <v>5202254867</v>
      </c>
      <c r="N1209" t="str">
        <f>""</f>
        <v/>
      </c>
      <c r="O1209" t="s">
        <v>4167</v>
      </c>
      <c r="P1209" t="s">
        <v>4168</v>
      </c>
      <c r="R1209" t="s">
        <v>4169</v>
      </c>
      <c r="S1209" t="s">
        <v>36</v>
      </c>
      <c r="T1209" t="str">
        <f t="shared" si="203"/>
        <v>85719</v>
      </c>
      <c r="U1209" t="str">
        <f>""</f>
        <v/>
      </c>
      <c r="V1209" t="s">
        <v>4311</v>
      </c>
      <c r="X1209" t="s">
        <v>4169</v>
      </c>
      <c r="Y1209" t="s">
        <v>36</v>
      </c>
      <c r="Z1209" t="str">
        <f>"85705"</f>
        <v>85705</v>
      </c>
      <c r="AA1209" t="str">
        <f>""</f>
        <v/>
      </c>
      <c r="AB1209" t="s">
        <v>516</v>
      </c>
    </row>
    <row r="1210" spans="1:28" x14ac:dyDescent="0.25">
      <c r="A1210">
        <v>4403</v>
      </c>
      <c r="B1210" t="str">
        <f t="shared" si="201"/>
        <v>100201000</v>
      </c>
      <c r="C1210" t="s">
        <v>4163</v>
      </c>
      <c r="D1210">
        <v>5756</v>
      </c>
      <c r="E1210" t="str">
        <f>"100201610"</f>
        <v>100201610</v>
      </c>
      <c r="F1210" t="s">
        <v>4312</v>
      </c>
      <c r="G1210" t="s">
        <v>42</v>
      </c>
      <c r="H1210" t="s">
        <v>4164</v>
      </c>
      <c r="I1210" t="s">
        <v>4165</v>
      </c>
      <c r="J1210" t="s">
        <v>4166</v>
      </c>
      <c r="K1210" t="str">
        <f t="shared" si="202"/>
        <v>5202254700</v>
      </c>
      <c r="L1210" t="str">
        <f>""</f>
        <v/>
      </c>
      <c r="M1210" t="str">
        <f t="shared" si="200"/>
        <v>5202254867</v>
      </c>
      <c r="N1210" t="str">
        <f>""</f>
        <v/>
      </c>
      <c r="O1210" t="s">
        <v>4167</v>
      </c>
      <c r="P1210" t="s">
        <v>4172</v>
      </c>
      <c r="R1210" t="s">
        <v>4169</v>
      </c>
      <c r="S1210" t="s">
        <v>36</v>
      </c>
      <c r="T1210" t="str">
        <f t="shared" si="203"/>
        <v>85719</v>
      </c>
      <c r="U1210" t="str">
        <f>""</f>
        <v/>
      </c>
      <c r="V1210" t="s">
        <v>4313</v>
      </c>
      <c r="X1210" t="s">
        <v>4169</v>
      </c>
      <c r="Y1210" t="s">
        <v>36</v>
      </c>
      <c r="Z1210" t="str">
        <f>"85716"</f>
        <v>85716</v>
      </c>
      <c r="AA1210" t="str">
        <f>""</f>
        <v/>
      </c>
      <c r="AB1210" t="s">
        <v>516</v>
      </c>
    </row>
    <row r="1211" spans="1:28" x14ac:dyDescent="0.25">
      <c r="A1211">
        <v>4403</v>
      </c>
      <c r="B1211" t="str">
        <f t="shared" si="201"/>
        <v>100201000</v>
      </c>
      <c r="C1211" t="s">
        <v>4163</v>
      </c>
      <c r="D1211">
        <v>5757</v>
      </c>
      <c r="E1211" t="str">
        <f>"100201615"</f>
        <v>100201615</v>
      </c>
      <c r="F1211" t="s">
        <v>4314</v>
      </c>
      <c r="G1211" t="s">
        <v>42</v>
      </c>
      <c r="H1211" t="s">
        <v>4164</v>
      </c>
      <c r="I1211" t="s">
        <v>4165</v>
      </c>
      <c r="J1211" t="s">
        <v>4166</v>
      </c>
      <c r="K1211" t="str">
        <f t="shared" si="202"/>
        <v>5202254700</v>
      </c>
      <c r="L1211" t="str">
        <f>""</f>
        <v/>
      </c>
      <c r="M1211" t="str">
        <f t="shared" si="200"/>
        <v>5202254867</v>
      </c>
      <c r="N1211" t="str">
        <f>""</f>
        <v/>
      </c>
      <c r="O1211" t="s">
        <v>4167</v>
      </c>
      <c r="P1211" t="s">
        <v>4172</v>
      </c>
      <c r="R1211" t="s">
        <v>4169</v>
      </c>
      <c r="S1211" t="s">
        <v>36</v>
      </c>
      <c r="T1211" t="str">
        <f t="shared" si="203"/>
        <v>85719</v>
      </c>
      <c r="U1211" t="str">
        <f>""</f>
        <v/>
      </c>
      <c r="V1211" t="s">
        <v>4315</v>
      </c>
      <c r="X1211" t="s">
        <v>4169</v>
      </c>
      <c r="Y1211" t="s">
        <v>36</v>
      </c>
      <c r="Z1211" t="str">
        <f>"85713"</f>
        <v>85713</v>
      </c>
      <c r="AA1211" t="str">
        <f>""</f>
        <v/>
      </c>
      <c r="AB1211" t="s">
        <v>516</v>
      </c>
    </row>
    <row r="1212" spans="1:28" x14ac:dyDescent="0.25">
      <c r="A1212">
        <v>4403</v>
      </c>
      <c r="B1212" t="str">
        <f t="shared" si="201"/>
        <v>100201000</v>
      </c>
      <c r="C1212" t="s">
        <v>4163</v>
      </c>
      <c r="D1212">
        <v>5758</v>
      </c>
      <c r="E1212" t="str">
        <f>"100201620"</f>
        <v>100201620</v>
      </c>
      <c r="F1212" t="s">
        <v>4316</v>
      </c>
      <c r="G1212" t="s">
        <v>42</v>
      </c>
      <c r="H1212" t="s">
        <v>4164</v>
      </c>
      <c r="I1212" t="s">
        <v>4165</v>
      </c>
      <c r="J1212" t="s">
        <v>4166</v>
      </c>
      <c r="K1212" t="str">
        <f t="shared" si="202"/>
        <v>5202254700</v>
      </c>
      <c r="L1212" t="str">
        <f>""</f>
        <v/>
      </c>
      <c r="M1212" t="str">
        <f t="shared" si="200"/>
        <v>5202254867</v>
      </c>
      <c r="N1212" t="str">
        <f>""</f>
        <v/>
      </c>
      <c r="O1212" t="s">
        <v>4167</v>
      </c>
      <c r="P1212" t="s">
        <v>4168</v>
      </c>
      <c r="R1212" t="s">
        <v>4169</v>
      </c>
      <c r="S1212" t="s">
        <v>36</v>
      </c>
      <c r="T1212" t="str">
        <f t="shared" si="203"/>
        <v>85719</v>
      </c>
      <c r="U1212" t="str">
        <f>""</f>
        <v/>
      </c>
      <c r="V1212" t="s">
        <v>4317</v>
      </c>
      <c r="X1212" t="s">
        <v>4169</v>
      </c>
      <c r="Y1212" t="s">
        <v>36</v>
      </c>
      <c r="Z1212" t="str">
        <f>"85710"</f>
        <v>85710</v>
      </c>
      <c r="AA1212" t="str">
        <f>""</f>
        <v/>
      </c>
      <c r="AB1212" t="s">
        <v>516</v>
      </c>
    </row>
    <row r="1213" spans="1:28" x14ac:dyDescent="0.25">
      <c r="A1213">
        <v>4403</v>
      </c>
      <c r="B1213" t="str">
        <f t="shared" si="201"/>
        <v>100201000</v>
      </c>
      <c r="C1213" t="s">
        <v>4163</v>
      </c>
      <c r="D1213">
        <v>5759</v>
      </c>
      <c r="E1213" t="str">
        <f>"100201630"</f>
        <v>100201630</v>
      </c>
      <c r="F1213" t="s">
        <v>4318</v>
      </c>
      <c r="G1213" t="s">
        <v>42</v>
      </c>
      <c r="H1213" t="s">
        <v>4164</v>
      </c>
      <c r="I1213" t="s">
        <v>4165</v>
      </c>
      <c r="J1213" t="s">
        <v>4166</v>
      </c>
      <c r="K1213" t="str">
        <f t="shared" si="202"/>
        <v>5202254700</v>
      </c>
      <c r="L1213" t="str">
        <f>""</f>
        <v/>
      </c>
      <c r="M1213" t="str">
        <f t="shared" si="200"/>
        <v>5202254867</v>
      </c>
      <c r="N1213" t="str">
        <f>""</f>
        <v/>
      </c>
      <c r="O1213" t="s">
        <v>4167</v>
      </c>
      <c r="P1213" t="s">
        <v>4168</v>
      </c>
      <c r="R1213" t="s">
        <v>4169</v>
      </c>
      <c r="S1213" t="s">
        <v>36</v>
      </c>
      <c r="T1213" t="str">
        <f t="shared" si="203"/>
        <v>85719</v>
      </c>
      <c r="U1213" t="str">
        <f>""</f>
        <v/>
      </c>
      <c r="V1213" t="s">
        <v>4319</v>
      </c>
      <c r="X1213" t="s">
        <v>4169</v>
      </c>
      <c r="Y1213" t="s">
        <v>36</v>
      </c>
      <c r="Z1213" t="str">
        <f>"85713"</f>
        <v>85713</v>
      </c>
      <c r="AA1213" t="str">
        <f>""</f>
        <v/>
      </c>
      <c r="AB1213" t="s">
        <v>516</v>
      </c>
    </row>
    <row r="1214" spans="1:28" x14ac:dyDescent="0.25">
      <c r="A1214">
        <v>4403</v>
      </c>
      <c r="B1214" t="str">
        <f t="shared" si="201"/>
        <v>100201000</v>
      </c>
      <c r="C1214" t="s">
        <v>4163</v>
      </c>
      <c r="D1214">
        <v>5760</v>
      </c>
      <c r="E1214" t="str">
        <f>"100201640"</f>
        <v>100201640</v>
      </c>
      <c r="F1214" t="s">
        <v>4320</v>
      </c>
      <c r="G1214" t="s">
        <v>42</v>
      </c>
      <c r="H1214" t="s">
        <v>4164</v>
      </c>
      <c r="I1214" t="s">
        <v>4165</v>
      </c>
      <c r="J1214" t="s">
        <v>4166</v>
      </c>
      <c r="K1214" t="str">
        <f t="shared" si="202"/>
        <v>5202254700</v>
      </c>
      <c r="L1214" t="str">
        <f>""</f>
        <v/>
      </c>
      <c r="M1214" t="str">
        <f t="shared" si="200"/>
        <v>5202254867</v>
      </c>
      <c r="N1214" t="str">
        <f>""</f>
        <v/>
      </c>
      <c r="O1214" t="s">
        <v>4167</v>
      </c>
      <c r="P1214" t="s">
        <v>4168</v>
      </c>
      <c r="R1214" t="s">
        <v>4169</v>
      </c>
      <c r="S1214" t="s">
        <v>36</v>
      </c>
      <c r="T1214" t="str">
        <f t="shared" si="203"/>
        <v>85719</v>
      </c>
      <c r="U1214" t="str">
        <f>""</f>
        <v/>
      </c>
      <c r="V1214" t="s">
        <v>4321</v>
      </c>
      <c r="X1214" t="s">
        <v>4169</v>
      </c>
      <c r="Y1214" t="s">
        <v>36</v>
      </c>
      <c r="Z1214" t="str">
        <f>"85711"</f>
        <v>85711</v>
      </c>
      <c r="AA1214" t="str">
        <f>""</f>
        <v/>
      </c>
      <c r="AB1214" t="s">
        <v>516</v>
      </c>
    </row>
    <row r="1215" spans="1:28" x14ac:dyDescent="0.25">
      <c r="A1215">
        <v>4403</v>
      </c>
      <c r="B1215" t="str">
        <f t="shared" si="201"/>
        <v>100201000</v>
      </c>
      <c r="C1215" t="s">
        <v>4163</v>
      </c>
      <c r="D1215">
        <v>5761</v>
      </c>
      <c r="E1215" t="str">
        <f>"100201645"</f>
        <v>100201645</v>
      </c>
      <c r="F1215" t="s">
        <v>4322</v>
      </c>
      <c r="G1215" t="s">
        <v>42</v>
      </c>
      <c r="H1215" t="s">
        <v>4164</v>
      </c>
      <c r="I1215" t="s">
        <v>4165</v>
      </c>
      <c r="J1215" t="s">
        <v>4166</v>
      </c>
      <c r="K1215" t="str">
        <f t="shared" si="202"/>
        <v>5202254700</v>
      </c>
      <c r="L1215" t="str">
        <f>""</f>
        <v/>
      </c>
      <c r="M1215" t="str">
        <f t="shared" si="200"/>
        <v>5202254867</v>
      </c>
      <c r="N1215" t="str">
        <f>""</f>
        <v/>
      </c>
      <c r="O1215" t="s">
        <v>4167</v>
      </c>
      <c r="P1215" t="s">
        <v>4168</v>
      </c>
      <c r="R1215" t="s">
        <v>4169</v>
      </c>
      <c r="S1215" t="s">
        <v>36</v>
      </c>
      <c r="T1215" t="str">
        <f t="shared" si="203"/>
        <v>85719</v>
      </c>
      <c r="U1215" t="str">
        <f>""</f>
        <v/>
      </c>
      <c r="V1215" t="s">
        <v>4323</v>
      </c>
      <c r="X1215" t="s">
        <v>4169</v>
      </c>
      <c r="Y1215" t="s">
        <v>36</v>
      </c>
      <c r="Z1215" t="str">
        <f>"85749"</f>
        <v>85749</v>
      </c>
      <c r="AA1215" t="str">
        <f>""</f>
        <v/>
      </c>
      <c r="AB1215" t="s">
        <v>516</v>
      </c>
    </row>
    <row r="1216" spans="1:28" x14ac:dyDescent="0.25">
      <c r="A1216">
        <v>4403</v>
      </c>
      <c r="B1216" t="str">
        <f t="shared" si="201"/>
        <v>100201000</v>
      </c>
      <c r="C1216" t="s">
        <v>4163</v>
      </c>
      <c r="D1216">
        <v>5762</v>
      </c>
      <c r="E1216" t="str">
        <f>"100201650"</f>
        <v>100201650</v>
      </c>
      <c r="F1216" t="s">
        <v>4324</v>
      </c>
      <c r="G1216" t="s">
        <v>42</v>
      </c>
      <c r="H1216" t="s">
        <v>4164</v>
      </c>
      <c r="I1216" t="s">
        <v>4165</v>
      </c>
      <c r="J1216" t="s">
        <v>4166</v>
      </c>
      <c r="K1216" t="str">
        <f t="shared" si="202"/>
        <v>5202254700</v>
      </c>
      <c r="L1216" t="str">
        <f>""</f>
        <v/>
      </c>
      <c r="M1216" t="str">
        <f t="shared" si="200"/>
        <v>5202254867</v>
      </c>
      <c r="N1216" t="str">
        <f>""</f>
        <v/>
      </c>
      <c r="O1216" t="s">
        <v>4167</v>
      </c>
      <c r="P1216" t="s">
        <v>4168</v>
      </c>
      <c r="R1216" t="s">
        <v>4169</v>
      </c>
      <c r="S1216" t="s">
        <v>36</v>
      </c>
      <c r="T1216" t="str">
        <f t="shared" si="203"/>
        <v>85719</v>
      </c>
      <c r="U1216" t="str">
        <f>""</f>
        <v/>
      </c>
      <c r="V1216" t="s">
        <v>4325</v>
      </c>
      <c r="X1216" t="s">
        <v>4169</v>
      </c>
      <c r="Y1216" t="s">
        <v>36</v>
      </c>
      <c r="Z1216" t="str">
        <f>"85710"</f>
        <v>85710</v>
      </c>
      <c r="AA1216" t="str">
        <f>""</f>
        <v/>
      </c>
      <c r="AB1216" t="s">
        <v>516</v>
      </c>
    </row>
    <row r="1217" spans="1:28" x14ac:dyDescent="0.25">
      <c r="A1217">
        <v>4403</v>
      </c>
      <c r="B1217" t="str">
        <f t="shared" si="201"/>
        <v>100201000</v>
      </c>
      <c r="C1217" t="s">
        <v>4163</v>
      </c>
      <c r="D1217">
        <v>5763</v>
      </c>
      <c r="E1217" t="str">
        <f>"100201655"</f>
        <v>100201655</v>
      </c>
      <c r="F1217" t="s">
        <v>4326</v>
      </c>
      <c r="G1217" t="s">
        <v>42</v>
      </c>
      <c r="H1217" t="s">
        <v>4164</v>
      </c>
      <c r="I1217" t="s">
        <v>4165</v>
      </c>
      <c r="J1217" t="s">
        <v>4166</v>
      </c>
      <c r="K1217" t="str">
        <f t="shared" si="202"/>
        <v>5202254700</v>
      </c>
      <c r="L1217" t="str">
        <f>""</f>
        <v/>
      </c>
      <c r="M1217" t="str">
        <f t="shared" si="200"/>
        <v>5202254867</v>
      </c>
      <c r="N1217" t="str">
        <f>""</f>
        <v/>
      </c>
      <c r="O1217" t="s">
        <v>4167</v>
      </c>
      <c r="P1217" t="s">
        <v>4168</v>
      </c>
      <c r="R1217" t="s">
        <v>4169</v>
      </c>
      <c r="S1217" t="s">
        <v>36</v>
      </c>
      <c r="T1217" t="str">
        <f t="shared" si="203"/>
        <v>85719</v>
      </c>
      <c r="U1217" t="str">
        <f>""</f>
        <v/>
      </c>
      <c r="V1217" t="s">
        <v>4327</v>
      </c>
      <c r="X1217" t="s">
        <v>4169</v>
      </c>
      <c r="Y1217" t="s">
        <v>36</v>
      </c>
      <c r="Z1217" t="str">
        <f>"85730"</f>
        <v>85730</v>
      </c>
      <c r="AA1217" t="str">
        <f>""</f>
        <v/>
      </c>
      <c r="AB1217" t="s">
        <v>516</v>
      </c>
    </row>
    <row r="1218" spans="1:28" x14ac:dyDescent="0.25">
      <c r="A1218">
        <v>4403</v>
      </c>
      <c r="B1218" t="str">
        <f t="shared" si="201"/>
        <v>100201000</v>
      </c>
      <c r="C1218" t="s">
        <v>4163</v>
      </c>
      <c r="D1218">
        <v>5764</v>
      </c>
      <c r="E1218" t="str">
        <f>"100201660"</f>
        <v>100201660</v>
      </c>
      <c r="F1218" t="s">
        <v>4328</v>
      </c>
      <c r="G1218" t="s">
        <v>42</v>
      </c>
      <c r="H1218" t="s">
        <v>4164</v>
      </c>
      <c r="I1218" t="s">
        <v>4165</v>
      </c>
      <c r="J1218" t="s">
        <v>4166</v>
      </c>
      <c r="K1218" t="str">
        <f t="shared" si="202"/>
        <v>5202254700</v>
      </c>
      <c r="L1218" t="str">
        <f>""</f>
        <v/>
      </c>
      <c r="M1218" t="str">
        <f t="shared" si="200"/>
        <v>5202254867</v>
      </c>
      <c r="N1218" t="str">
        <f>""</f>
        <v/>
      </c>
      <c r="O1218" t="s">
        <v>4167</v>
      </c>
      <c r="P1218" t="s">
        <v>4168</v>
      </c>
      <c r="R1218" t="s">
        <v>4169</v>
      </c>
      <c r="S1218" t="s">
        <v>36</v>
      </c>
      <c r="T1218" t="str">
        <f t="shared" si="203"/>
        <v>85719</v>
      </c>
      <c r="U1218" t="str">
        <f>""</f>
        <v/>
      </c>
      <c r="V1218" t="s">
        <v>4329</v>
      </c>
      <c r="X1218" t="s">
        <v>4169</v>
      </c>
      <c r="Y1218" t="s">
        <v>36</v>
      </c>
      <c r="Z1218" t="str">
        <f>"85705"</f>
        <v>85705</v>
      </c>
      <c r="AA1218" t="str">
        <f>""</f>
        <v/>
      </c>
      <c r="AB1218" t="s">
        <v>516</v>
      </c>
    </row>
    <row r="1219" spans="1:28" x14ac:dyDescent="0.25">
      <c r="A1219">
        <v>4403</v>
      </c>
      <c r="B1219" t="str">
        <f t="shared" si="201"/>
        <v>100201000</v>
      </c>
      <c r="C1219" t="s">
        <v>4163</v>
      </c>
      <c r="D1219">
        <v>6264</v>
      </c>
      <c r="E1219" t="str">
        <f>"100201674"</f>
        <v>100201674</v>
      </c>
      <c r="F1219" t="s">
        <v>4330</v>
      </c>
      <c r="G1219" t="s">
        <v>42</v>
      </c>
      <c r="H1219" t="s">
        <v>4164</v>
      </c>
      <c r="I1219" t="s">
        <v>4165</v>
      </c>
      <c r="J1219" t="s">
        <v>4166</v>
      </c>
      <c r="K1219" t="str">
        <f t="shared" si="202"/>
        <v>5202254700</v>
      </c>
      <c r="L1219" t="str">
        <f>""</f>
        <v/>
      </c>
      <c r="M1219" t="str">
        <f t="shared" si="200"/>
        <v>5202254867</v>
      </c>
      <c r="N1219" t="str">
        <f>""</f>
        <v/>
      </c>
      <c r="O1219" t="s">
        <v>4167</v>
      </c>
      <c r="P1219" t="s">
        <v>4168</v>
      </c>
      <c r="R1219" t="s">
        <v>4169</v>
      </c>
      <c r="S1219" t="s">
        <v>36</v>
      </c>
      <c r="T1219" t="str">
        <f t="shared" si="203"/>
        <v>85719</v>
      </c>
      <c r="U1219" t="str">
        <f>""</f>
        <v/>
      </c>
      <c r="V1219" t="s">
        <v>4331</v>
      </c>
      <c r="X1219" t="s">
        <v>4169</v>
      </c>
      <c r="Y1219" t="s">
        <v>36</v>
      </c>
      <c r="Z1219" t="str">
        <f>"85719"</f>
        <v>85719</v>
      </c>
      <c r="AA1219" t="str">
        <f>""</f>
        <v/>
      </c>
      <c r="AB1219" t="s">
        <v>516</v>
      </c>
    </row>
    <row r="1220" spans="1:28" x14ac:dyDescent="0.25">
      <c r="A1220">
        <v>4403</v>
      </c>
      <c r="B1220" t="str">
        <f t="shared" si="201"/>
        <v>100201000</v>
      </c>
      <c r="C1220" t="s">
        <v>4163</v>
      </c>
      <c r="D1220">
        <v>6269</v>
      </c>
      <c r="E1220" t="str">
        <f>"100201195"</f>
        <v>100201195</v>
      </c>
      <c r="F1220" t="s">
        <v>4332</v>
      </c>
      <c r="G1220" t="s">
        <v>42</v>
      </c>
      <c r="H1220" t="s">
        <v>4164</v>
      </c>
      <c r="I1220" t="s">
        <v>4165</v>
      </c>
      <c r="J1220" t="s">
        <v>4166</v>
      </c>
      <c r="K1220" t="str">
        <f t="shared" si="202"/>
        <v>5202254700</v>
      </c>
      <c r="L1220" t="str">
        <f>""</f>
        <v/>
      </c>
      <c r="M1220" t="str">
        <f t="shared" si="200"/>
        <v>5202254867</v>
      </c>
      <c r="N1220" t="str">
        <f>""</f>
        <v/>
      </c>
      <c r="O1220" t="s">
        <v>4167</v>
      </c>
      <c r="P1220" t="s">
        <v>4168</v>
      </c>
      <c r="R1220" t="s">
        <v>4169</v>
      </c>
      <c r="S1220" t="s">
        <v>36</v>
      </c>
      <c r="T1220" t="str">
        <f t="shared" si="203"/>
        <v>85719</v>
      </c>
      <c r="U1220" t="str">
        <f>""</f>
        <v/>
      </c>
      <c r="V1220" t="s">
        <v>4333</v>
      </c>
      <c r="X1220" t="s">
        <v>4169</v>
      </c>
      <c r="Y1220" t="s">
        <v>36</v>
      </c>
      <c r="Z1220" t="str">
        <f>"85719"</f>
        <v>85719</v>
      </c>
      <c r="AA1220" t="str">
        <f>""</f>
        <v/>
      </c>
      <c r="AB1220" t="s">
        <v>516</v>
      </c>
    </row>
    <row r="1221" spans="1:28" x14ac:dyDescent="0.25">
      <c r="A1221">
        <v>4403</v>
      </c>
      <c r="B1221" t="str">
        <f t="shared" si="201"/>
        <v>100201000</v>
      </c>
      <c r="C1221" t="s">
        <v>4163</v>
      </c>
      <c r="D1221">
        <v>6272</v>
      </c>
      <c r="E1221" t="str">
        <f>"100201676"</f>
        <v>100201676</v>
      </c>
      <c r="F1221" t="s">
        <v>4334</v>
      </c>
      <c r="G1221" t="s">
        <v>42</v>
      </c>
      <c r="H1221" t="s">
        <v>4164</v>
      </c>
      <c r="I1221" t="s">
        <v>4165</v>
      </c>
      <c r="J1221" t="s">
        <v>4166</v>
      </c>
      <c r="K1221" t="str">
        <f t="shared" si="202"/>
        <v>5202254700</v>
      </c>
      <c r="L1221" t="str">
        <f>""</f>
        <v/>
      </c>
      <c r="M1221" t="str">
        <f t="shared" si="200"/>
        <v>5202254867</v>
      </c>
      <c r="N1221" t="str">
        <f>""</f>
        <v/>
      </c>
      <c r="O1221" t="s">
        <v>4167</v>
      </c>
      <c r="P1221" t="s">
        <v>4168</v>
      </c>
      <c r="R1221" t="s">
        <v>4169</v>
      </c>
      <c r="S1221" t="s">
        <v>36</v>
      </c>
      <c r="T1221" t="str">
        <f t="shared" si="203"/>
        <v>85719</v>
      </c>
      <c r="U1221" t="str">
        <f>""</f>
        <v/>
      </c>
      <c r="V1221" t="s">
        <v>4335</v>
      </c>
      <c r="X1221" t="s">
        <v>4169</v>
      </c>
      <c r="Y1221" t="s">
        <v>36</v>
      </c>
      <c r="Z1221" t="str">
        <f>"85705"</f>
        <v>85705</v>
      </c>
      <c r="AA1221" t="str">
        <f>""</f>
        <v/>
      </c>
      <c r="AB1221" t="s">
        <v>516</v>
      </c>
    </row>
    <row r="1222" spans="1:28" x14ac:dyDescent="0.25">
      <c r="A1222">
        <v>4403</v>
      </c>
      <c r="B1222" t="str">
        <f t="shared" si="201"/>
        <v>100201000</v>
      </c>
      <c r="C1222" t="s">
        <v>4163</v>
      </c>
      <c r="D1222">
        <v>80038</v>
      </c>
      <c r="E1222" t="str">
        <f>"100201120"</f>
        <v>100201120</v>
      </c>
      <c r="F1222" t="s">
        <v>4336</v>
      </c>
      <c r="G1222" t="s">
        <v>42</v>
      </c>
      <c r="H1222" t="s">
        <v>4164</v>
      </c>
      <c r="I1222" t="s">
        <v>4165</v>
      </c>
      <c r="J1222" t="s">
        <v>4166</v>
      </c>
      <c r="K1222" t="str">
        <f t="shared" si="202"/>
        <v>5202254700</v>
      </c>
      <c r="L1222" t="str">
        <f>""</f>
        <v/>
      </c>
      <c r="M1222" t="str">
        <f t="shared" si="200"/>
        <v>5202254867</v>
      </c>
      <c r="N1222" t="str">
        <f>""</f>
        <v/>
      </c>
      <c r="O1222" t="s">
        <v>4167</v>
      </c>
      <c r="P1222" t="s">
        <v>4172</v>
      </c>
      <c r="R1222" t="s">
        <v>4169</v>
      </c>
      <c r="S1222" t="s">
        <v>36</v>
      </c>
      <c r="T1222" t="str">
        <f t="shared" si="203"/>
        <v>85719</v>
      </c>
      <c r="U1222" t="str">
        <f>""</f>
        <v/>
      </c>
      <c r="V1222" t="s">
        <v>4337</v>
      </c>
      <c r="X1222" t="s">
        <v>4169</v>
      </c>
      <c r="Y1222" t="s">
        <v>36</v>
      </c>
      <c r="Z1222" t="str">
        <f>"85735"</f>
        <v>85735</v>
      </c>
      <c r="AA1222" t="str">
        <f>""</f>
        <v/>
      </c>
      <c r="AB1222" t="s">
        <v>516</v>
      </c>
    </row>
    <row r="1223" spans="1:28" x14ac:dyDescent="0.25">
      <c r="A1223">
        <v>4403</v>
      </c>
      <c r="B1223" t="str">
        <f t="shared" si="201"/>
        <v>100201000</v>
      </c>
      <c r="C1223" t="s">
        <v>4163</v>
      </c>
      <c r="D1223">
        <v>80039</v>
      </c>
      <c r="E1223" t="str">
        <f>"100201327"</f>
        <v>100201327</v>
      </c>
      <c r="F1223" t="s">
        <v>4338</v>
      </c>
      <c r="G1223" t="s">
        <v>42</v>
      </c>
      <c r="H1223" t="s">
        <v>4164</v>
      </c>
      <c r="I1223" t="s">
        <v>4165</v>
      </c>
      <c r="J1223" t="s">
        <v>4166</v>
      </c>
      <c r="K1223" t="str">
        <f t="shared" si="202"/>
        <v>5202254700</v>
      </c>
      <c r="L1223" t="str">
        <f>""</f>
        <v/>
      </c>
      <c r="M1223" t="str">
        <f t="shared" si="200"/>
        <v>5202254867</v>
      </c>
      <c r="N1223" t="str">
        <f>""</f>
        <v/>
      </c>
      <c r="O1223" t="s">
        <v>4167</v>
      </c>
      <c r="P1223" t="s">
        <v>4172</v>
      </c>
      <c r="R1223" t="s">
        <v>4169</v>
      </c>
      <c r="S1223" t="s">
        <v>36</v>
      </c>
      <c r="T1223" t="str">
        <f t="shared" si="203"/>
        <v>85719</v>
      </c>
      <c r="U1223" t="str">
        <f>""</f>
        <v/>
      </c>
      <c r="V1223" t="s">
        <v>4339</v>
      </c>
      <c r="X1223" t="s">
        <v>4169</v>
      </c>
      <c r="Y1223" t="s">
        <v>36</v>
      </c>
      <c r="Z1223" t="str">
        <f>"85713"</f>
        <v>85713</v>
      </c>
      <c r="AA1223" t="str">
        <f>""</f>
        <v/>
      </c>
      <c r="AB1223" t="s">
        <v>516</v>
      </c>
    </row>
    <row r="1224" spans="1:28" x14ac:dyDescent="0.25">
      <c r="A1224">
        <v>4403</v>
      </c>
      <c r="B1224" t="str">
        <f t="shared" si="201"/>
        <v>100201000</v>
      </c>
      <c r="C1224" t="s">
        <v>4163</v>
      </c>
      <c r="D1224">
        <v>91202</v>
      </c>
      <c r="E1224" t="str">
        <f>"100201523"</f>
        <v>100201523</v>
      </c>
      <c r="F1224" t="s">
        <v>4340</v>
      </c>
      <c r="G1224" t="s">
        <v>42</v>
      </c>
      <c r="H1224" t="s">
        <v>4164</v>
      </c>
      <c r="I1224" t="s">
        <v>4165</v>
      </c>
      <c r="J1224" t="s">
        <v>4166</v>
      </c>
      <c r="K1224" t="str">
        <f t="shared" si="202"/>
        <v>5202254700</v>
      </c>
      <c r="L1224" t="str">
        <f>""</f>
        <v/>
      </c>
      <c r="M1224" t="str">
        <f t="shared" si="200"/>
        <v>5202254867</v>
      </c>
      <c r="N1224" t="str">
        <f>""</f>
        <v/>
      </c>
      <c r="O1224" t="s">
        <v>4167</v>
      </c>
      <c r="P1224" t="s">
        <v>4168</v>
      </c>
      <c r="R1224" t="s">
        <v>4169</v>
      </c>
      <c r="S1224" t="s">
        <v>36</v>
      </c>
      <c r="T1224" t="str">
        <f t="shared" si="203"/>
        <v>85719</v>
      </c>
      <c r="U1224" t="str">
        <f>""</f>
        <v/>
      </c>
      <c r="V1224" t="s">
        <v>4341</v>
      </c>
      <c r="X1224" t="s">
        <v>4169</v>
      </c>
      <c r="Y1224" t="s">
        <v>36</v>
      </c>
      <c r="Z1224" t="str">
        <f>"85746"</f>
        <v>85746</v>
      </c>
      <c r="AA1224" t="str">
        <f>""</f>
        <v/>
      </c>
      <c r="AB1224" t="s">
        <v>516</v>
      </c>
    </row>
    <row r="1225" spans="1:28" x14ac:dyDescent="0.25">
      <c r="A1225">
        <v>4403</v>
      </c>
      <c r="B1225" t="str">
        <f t="shared" si="201"/>
        <v>100201000</v>
      </c>
      <c r="C1225" t="s">
        <v>4163</v>
      </c>
      <c r="D1225">
        <v>92239</v>
      </c>
      <c r="E1225" t="str">
        <f>"100201521"</f>
        <v>100201521</v>
      </c>
      <c r="F1225" t="s">
        <v>4342</v>
      </c>
      <c r="G1225" t="s">
        <v>42</v>
      </c>
      <c r="H1225" t="s">
        <v>4164</v>
      </c>
      <c r="I1225" t="s">
        <v>4165</v>
      </c>
      <c r="J1225" t="s">
        <v>4166</v>
      </c>
      <c r="K1225" t="str">
        <f t="shared" si="202"/>
        <v>5202254700</v>
      </c>
      <c r="L1225" t="str">
        <f>""</f>
        <v/>
      </c>
      <c r="M1225" t="str">
        <f>"5202254743"</f>
        <v>5202254743</v>
      </c>
      <c r="N1225" t="str">
        <f>""</f>
        <v/>
      </c>
      <c r="O1225" t="s">
        <v>4167</v>
      </c>
      <c r="P1225" t="s">
        <v>4168</v>
      </c>
      <c r="R1225" t="s">
        <v>4169</v>
      </c>
      <c r="S1225" t="s">
        <v>36</v>
      </c>
      <c r="T1225" t="str">
        <f t="shared" si="203"/>
        <v>85719</v>
      </c>
      <c r="U1225" t="str">
        <f>""</f>
        <v/>
      </c>
      <c r="V1225" t="s">
        <v>4343</v>
      </c>
      <c r="X1225" t="s">
        <v>4169</v>
      </c>
      <c r="Y1225" t="s">
        <v>36</v>
      </c>
      <c r="Z1225" t="str">
        <f>"85712"</f>
        <v>85712</v>
      </c>
      <c r="AA1225" t="str">
        <f>""</f>
        <v/>
      </c>
      <c r="AB1225" t="s">
        <v>516</v>
      </c>
    </row>
    <row r="1226" spans="1:28" x14ac:dyDescent="0.25">
      <c r="A1226">
        <v>4404</v>
      </c>
      <c r="B1226" t="str">
        <f t="shared" ref="B1226:B1242" si="204">"100206000"</f>
        <v>100206000</v>
      </c>
      <c r="C1226" t="s">
        <v>4344</v>
      </c>
      <c r="D1226">
        <v>0</v>
      </c>
      <c r="E1226" t="str">
        <f>""</f>
        <v/>
      </c>
      <c r="G1226" t="s">
        <v>29</v>
      </c>
      <c r="H1226" t="s">
        <v>2756</v>
      </c>
      <c r="I1226" t="s">
        <v>4345</v>
      </c>
      <c r="J1226" t="s">
        <v>898</v>
      </c>
      <c r="K1226" t="str">
        <f t="shared" ref="K1226:K1241" si="205">"5206824737"</f>
        <v>5206824737</v>
      </c>
      <c r="L1226" t="str">
        <f>""</f>
        <v/>
      </c>
      <c r="M1226" t="str">
        <f>""</f>
        <v/>
      </c>
      <c r="N1226" t="str">
        <f>""</f>
        <v/>
      </c>
      <c r="O1226" t="s">
        <v>4346</v>
      </c>
      <c r="P1226" t="s">
        <v>4347</v>
      </c>
      <c r="R1226" t="s">
        <v>4348</v>
      </c>
      <c r="S1226" t="s">
        <v>36</v>
      </c>
      <c r="T1226" t="str">
        <f>"85653"</f>
        <v>85653</v>
      </c>
      <c r="U1226" t="str">
        <f>""</f>
        <v/>
      </c>
      <c r="V1226" t="s">
        <v>4347</v>
      </c>
      <c r="X1226" t="s">
        <v>4348</v>
      </c>
      <c r="Y1226" t="s">
        <v>36</v>
      </c>
      <c r="Z1226" t="str">
        <f>"85653"</f>
        <v>85653</v>
      </c>
      <c r="AA1226" t="str">
        <f>""</f>
        <v/>
      </c>
      <c r="AB1226" t="s">
        <v>516</v>
      </c>
    </row>
    <row r="1227" spans="1:28" x14ac:dyDescent="0.25">
      <c r="A1227">
        <v>4404</v>
      </c>
      <c r="B1227" t="str">
        <f t="shared" si="204"/>
        <v>100206000</v>
      </c>
      <c r="C1227" t="s">
        <v>4344</v>
      </c>
      <c r="D1227">
        <v>5769</v>
      </c>
      <c r="E1227" t="str">
        <f>"100206111"</f>
        <v>100206111</v>
      </c>
      <c r="F1227" t="s">
        <v>4349</v>
      </c>
      <c r="G1227" t="s">
        <v>42</v>
      </c>
      <c r="H1227" t="s">
        <v>2756</v>
      </c>
      <c r="I1227" t="s">
        <v>4345</v>
      </c>
      <c r="J1227" t="s">
        <v>32</v>
      </c>
      <c r="K1227" t="str">
        <f t="shared" si="205"/>
        <v>5206824737</v>
      </c>
      <c r="L1227" t="str">
        <f>""</f>
        <v/>
      </c>
      <c r="M1227" t="str">
        <f t="shared" ref="M1227:M1242" si="206">"5206822911"</f>
        <v>5206822911</v>
      </c>
      <c r="N1227" t="str">
        <f>""</f>
        <v/>
      </c>
      <c r="O1227" t="s">
        <v>4346</v>
      </c>
      <c r="P1227" t="s">
        <v>4350</v>
      </c>
      <c r="R1227" t="s">
        <v>4169</v>
      </c>
      <c r="S1227" t="s">
        <v>36</v>
      </c>
      <c r="T1227" t="str">
        <f>"85742"</f>
        <v>85742</v>
      </c>
      <c r="U1227" t="str">
        <f>""</f>
        <v/>
      </c>
      <c r="V1227" t="s">
        <v>4350</v>
      </c>
      <c r="X1227" t="s">
        <v>4169</v>
      </c>
      <c r="Y1227" t="s">
        <v>36</v>
      </c>
      <c r="Z1227" t="str">
        <f>"85742"</f>
        <v>85742</v>
      </c>
      <c r="AA1227" t="str">
        <f>""</f>
        <v/>
      </c>
      <c r="AB1227" t="s">
        <v>516</v>
      </c>
    </row>
    <row r="1228" spans="1:28" x14ac:dyDescent="0.25">
      <c r="A1228">
        <v>4404</v>
      </c>
      <c r="B1228" t="str">
        <f t="shared" si="204"/>
        <v>100206000</v>
      </c>
      <c r="C1228" t="s">
        <v>4344</v>
      </c>
      <c r="D1228">
        <v>5770</v>
      </c>
      <c r="E1228" t="str">
        <f>"100206112"</f>
        <v>100206112</v>
      </c>
      <c r="F1228" t="s">
        <v>4351</v>
      </c>
      <c r="G1228" t="s">
        <v>42</v>
      </c>
      <c r="H1228" t="s">
        <v>2756</v>
      </c>
      <c r="I1228" t="s">
        <v>4345</v>
      </c>
      <c r="J1228" t="s">
        <v>32</v>
      </c>
      <c r="K1228" t="str">
        <f t="shared" si="205"/>
        <v>5206824737</v>
      </c>
      <c r="L1228" t="str">
        <f>""</f>
        <v/>
      </c>
      <c r="M1228" t="str">
        <f t="shared" si="206"/>
        <v>5206822911</v>
      </c>
      <c r="N1228" t="str">
        <f>""</f>
        <v/>
      </c>
      <c r="O1228" t="s">
        <v>4352</v>
      </c>
      <c r="P1228" t="s">
        <v>4353</v>
      </c>
      <c r="R1228" t="s">
        <v>4348</v>
      </c>
      <c r="S1228" t="s">
        <v>36</v>
      </c>
      <c r="T1228" t="str">
        <f>"85653"</f>
        <v>85653</v>
      </c>
      <c r="U1228" t="str">
        <f>""</f>
        <v/>
      </c>
      <c r="V1228" t="s">
        <v>4353</v>
      </c>
      <c r="X1228" t="s">
        <v>4348</v>
      </c>
      <c r="Y1228" t="s">
        <v>36</v>
      </c>
      <c r="Z1228" t="str">
        <f>"85653"</f>
        <v>85653</v>
      </c>
      <c r="AA1228" t="str">
        <f>""</f>
        <v/>
      </c>
      <c r="AB1228" t="s">
        <v>516</v>
      </c>
    </row>
    <row r="1229" spans="1:28" x14ac:dyDescent="0.25">
      <c r="A1229">
        <v>4404</v>
      </c>
      <c r="B1229" t="str">
        <f t="shared" si="204"/>
        <v>100206000</v>
      </c>
      <c r="C1229" t="s">
        <v>4344</v>
      </c>
      <c r="D1229">
        <v>5771</v>
      </c>
      <c r="E1229" t="str">
        <f>"100206113"</f>
        <v>100206113</v>
      </c>
      <c r="F1229" t="s">
        <v>4354</v>
      </c>
      <c r="G1229" t="s">
        <v>42</v>
      </c>
      <c r="H1229" t="s">
        <v>2756</v>
      </c>
      <c r="I1229" t="s">
        <v>4345</v>
      </c>
      <c r="J1229" t="s">
        <v>32</v>
      </c>
      <c r="K1229" t="str">
        <f t="shared" si="205"/>
        <v>5206824737</v>
      </c>
      <c r="L1229" t="str">
        <f>""</f>
        <v/>
      </c>
      <c r="M1229" t="str">
        <f t="shared" si="206"/>
        <v>5206822911</v>
      </c>
      <c r="N1229" t="str">
        <f>""</f>
        <v/>
      </c>
      <c r="O1229" t="s">
        <v>4346</v>
      </c>
      <c r="P1229" t="s">
        <v>4355</v>
      </c>
      <c r="R1229" t="s">
        <v>4169</v>
      </c>
      <c r="S1229" t="s">
        <v>36</v>
      </c>
      <c r="T1229" t="str">
        <f>"85741"</f>
        <v>85741</v>
      </c>
      <c r="U1229" t="str">
        <f>""</f>
        <v/>
      </c>
      <c r="V1229" t="s">
        <v>4355</v>
      </c>
      <c r="X1229" t="s">
        <v>4169</v>
      </c>
      <c r="Y1229" t="s">
        <v>36</v>
      </c>
      <c r="Z1229" t="str">
        <f>"85741"</f>
        <v>85741</v>
      </c>
      <c r="AA1229" t="str">
        <f>""</f>
        <v/>
      </c>
      <c r="AB1229" t="s">
        <v>516</v>
      </c>
    </row>
    <row r="1230" spans="1:28" x14ac:dyDescent="0.25">
      <c r="A1230">
        <v>4404</v>
      </c>
      <c r="B1230" t="str">
        <f t="shared" si="204"/>
        <v>100206000</v>
      </c>
      <c r="C1230" t="s">
        <v>4344</v>
      </c>
      <c r="D1230">
        <v>5772</v>
      </c>
      <c r="E1230" t="str">
        <f>"100206114"</f>
        <v>100206114</v>
      </c>
      <c r="F1230" t="s">
        <v>4356</v>
      </c>
      <c r="G1230" t="s">
        <v>42</v>
      </c>
      <c r="H1230" t="s">
        <v>2756</v>
      </c>
      <c r="I1230" t="s">
        <v>4345</v>
      </c>
      <c r="J1230" t="s">
        <v>32</v>
      </c>
      <c r="K1230" t="str">
        <f t="shared" si="205"/>
        <v>5206824737</v>
      </c>
      <c r="L1230" t="str">
        <f>""</f>
        <v/>
      </c>
      <c r="M1230" t="str">
        <f t="shared" si="206"/>
        <v>5206822911</v>
      </c>
      <c r="N1230" t="str">
        <f>""</f>
        <v/>
      </c>
      <c r="O1230" t="s">
        <v>4352</v>
      </c>
      <c r="P1230" t="s">
        <v>4357</v>
      </c>
      <c r="R1230" t="s">
        <v>4169</v>
      </c>
      <c r="S1230" t="s">
        <v>36</v>
      </c>
      <c r="T1230" t="str">
        <f>"85741"</f>
        <v>85741</v>
      </c>
      <c r="U1230" t="str">
        <f>""</f>
        <v/>
      </c>
      <c r="V1230" t="s">
        <v>4357</v>
      </c>
      <c r="X1230" t="s">
        <v>4169</v>
      </c>
      <c r="Y1230" t="s">
        <v>36</v>
      </c>
      <c r="Z1230" t="str">
        <f>"85741"</f>
        <v>85741</v>
      </c>
      <c r="AA1230" t="str">
        <f>""</f>
        <v/>
      </c>
      <c r="AB1230" t="s">
        <v>516</v>
      </c>
    </row>
    <row r="1231" spans="1:28" x14ac:dyDescent="0.25">
      <c r="A1231">
        <v>4404</v>
      </c>
      <c r="B1231" t="str">
        <f t="shared" si="204"/>
        <v>100206000</v>
      </c>
      <c r="C1231" t="s">
        <v>4344</v>
      </c>
      <c r="D1231">
        <v>5773</v>
      </c>
      <c r="E1231" t="str">
        <f>"100206115"</f>
        <v>100206115</v>
      </c>
      <c r="F1231" t="s">
        <v>2527</v>
      </c>
      <c r="G1231" t="s">
        <v>42</v>
      </c>
      <c r="H1231" t="s">
        <v>2756</v>
      </c>
      <c r="I1231" t="s">
        <v>4345</v>
      </c>
      <c r="J1231" t="s">
        <v>32</v>
      </c>
      <c r="K1231" t="str">
        <f t="shared" si="205"/>
        <v>5206824737</v>
      </c>
      <c r="L1231" t="str">
        <f>""</f>
        <v/>
      </c>
      <c r="M1231" t="str">
        <f t="shared" si="206"/>
        <v>5206822911</v>
      </c>
      <c r="N1231" t="str">
        <f>""</f>
        <v/>
      </c>
      <c r="O1231" t="s">
        <v>4346</v>
      </c>
      <c r="P1231" t="s">
        <v>4358</v>
      </c>
      <c r="R1231" t="s">
        <v>4348</v>
      </c>
      <c r="S1231" t="s">
        <v>36</v>
      </c>
      <c r="T1231" t="str">
        <f>"85653"</f>
        <v>85653</v>
      </c>
      <c r="U1231" t="str">
        <f>""</f>
        <v/>
      </c>
      <c r="V1231" t="s">
        <v>4358</v>
      </c>
      <c r="X1231" t="s">
        <v>4348</v>
      </c>
      <c r="Y1231" t="s">
        <v>36</v>
      </c>
      <c r="Z1231" t="str">
        <f>"85653"</f>
        <v>85653</v>
      </c>
      <c r="AA1231" t="str">
        <f>""</f>
        <v/>
      </c>
      <c r="AB1231" t="s">
        <v>516</v>
      </c>
    </row>
    <row r="1232" spans="1:28" x14ac:dyDescent="0.25">
      <c r="A1232">
        <v>4404</v>
      </c>
      <c r="B1232" t="str">
        <f t="shared" si="204"/>
        <v>100206000</v>
      </c>
      <c r="C1232" t="s">
        <v>4344</v>
      </c>
      <c r="D1232">
        <v>5774</v>
      </c>
      <c r="E1232" t="str">
        <f>"100206116"</f>
        <v>100206116</v>
      </c>
      <c r="F1232" t="s">
        <v>4359</v>
      </c>
      <c r="G1232" t="s">
        <v>42</v>
      </c>
      <c r="H1232" t="s">
        <v>2756</v>
      </c>
      <c r="I1232" t="s">
        <v>4345</v>
      </c>
      <c r="J1232" t="s">
        <v>32</v>
      </c>
      <c r="K1232" t="str">
        <f t="shared" si="205"/>
        <v>5206824737</v>
      </c>
      <c r="L1232" t="str">
        <f>""</f>
        <v/>
      </c>
      <c r="M1232" t="str">
        <f t="shared" si="206"/>
        <v>5206822911</v>
      </c>
      <c r="N1232" t="str">
        <f>""</f>
        <v/>
      </c>
      <c r="O1232" t="s">
        <v>4346</v>
      </c>
      <c r="P1232" t="s">
        <v>4360</v>
      </c>
      <c r="R1232" t="s">
        <v>4169</v>
      </c>
      <c r="S1232" t="s">
        <v>36</v>
      </c>
      <c r="T1232" t="str">
        <f>"85743"</f>
        <v>85743</v>
      </c>
      <c r="U1232" t="str">
        <f>""</f>
        <v/>
      </c>
      <c r="V1232" t="s">
        <v>4360</v>
      </c>
      <c r="X1232" t="s">
        <v>4169</v>
      </c>
      <c r="Y1232" t="s">
        <v>36</v>
      </c>
      <c r="Z1232" t="str">
        <f>"85743"</f>
        <v>85743</v>
      </c>
      <c r="AA1232" t="str">
        <f>""</f>
        <v/>
      </c>
      <c r="AB1232" t="s">
        <v>516</v>
      </c>
    </row>
    <row r="1233" spans="1:28" x14ac:dyDescent="0.25">
      <c r="A1233">
        <v>4404</v>
      </c>
      <c r="B1233" t="str">
        <f t="shared" si="204"/>
        <v>100206000</v>
      </c>
      <c r="C1233" t="s">
        <v>4344</v>
      </c>
      <c r="D1233">
        <v>5775</v>
      </c>
      <c r="E1233" t="str">
        <f>"100206117"</f>
        <v>100206117</v>
      </c>
      <c r="F1233" t="s">
        <v>2501</v>
      </c>
      <c r="G1233" t="s">
        <v>42</v>
      </c>
      <c r="H1233" t="s">
        <v>2756</v>
      </c>
      <c r="I1233" t="s">
        <v>4345</v>
      </c>
      <c r="J1233" t="s">
        <v>32</v>
      </c>
      <c r="K1233" t="str">
        <f t="shared" si="205"/>
        <v>5206824737</v>
      </c>
      <c r="L1233" t="str">
        <f>""</f>
        <v/>
      </c>
      <c r="M1233" t="str">
        <f t="shared" si="206"/>
        <v>5206822911</v>
      </c>
      <c r="N1233" t="str">
        <f>""</f>
        <v/>
      </c>
      <c r="O1233" t="s">
        <v>4352</v>
      </c>
      <c r="P1233" t="s">
        <v>4361</v>
      </c>
      <c r="R1233" t="s">
        <v>4169</v>
      </c>
      <c r="S1233" t="s">
        <v>36</v>
      </c>
      <c r="T1233" t="str">
        <f>"85742"</f>
        <v>85742</v>
      </c>
      <c r="U1233" t="str">
        <f>""</f>
        <v/>
      </c>
      <c r="V1233" t="s">
        <v>4361</v>
      </c>
      <c r="X1233" t="s">
        <v>4169</v>
      </c>
      <c r="Y1233" t="s">
        <v>36</v>
      </c>
      <c r="Z1233" t="str">
        <f>"85742"</f>
        <v>85742</v>
      </c>
      <c r="AA1233" t="str">
        <f>""</f>
        <v/>
      </c>
      <c r="AB1233" t="s">
        <v>516</v>
      </c>
    </row>
    <row r="1234" spans="1:28" x14ac:dyDescent="0.25">
      <c r="A1234">
        <v>4404</v>
      </c>
      <c r="B1234" t="str">
        <f t="shared" si="204"/>
        <v>100206000</v>
      </c>
      <c r="C1234" t="s">
        <v>4344</v>
      </c>
      <c r="D1234">
        <v>5776</v>
      </c>
      <c r="E1234" t="str">
        <f>"100206118"</f>
        <v>100206118</v>
      </c>
      <c r="F1234" t="s">
        <v>1564</v>
      </c>
      <c r="G1234" t="s">
        <v>42</v>
      </c>
      <c r="H1234" t="s">
        <v>2756</v>
      </c>
      <c r="I1234" t="s">
        <v>4345</v>
      </c>
      <c r="J1234" t="s">
        <v>32</v>
      </c>
      <c r="K1234" t="str">
        <f t="shared" si="205"/>
        <v>5206824737</v>
      </c>
      <c r="L1234" t="str">
        <f>""</f>
        <v/>
      </c>
      <c r="M1234" t="str">
        <f t="shared" si="206"/>
        <v>5206822911</v>
      </c>
      <c r="N1234" t="str">
        <f>""</f>
        <v/>
      </c>
      <c r="O1234" t="s">
        <v>4346</v>
      </c>
      <c r="P1234" t="s">
        <v>4362</v>
      </c>
      <c r="R1234" t="s">
        <v>4169</v>
      </c>
      <c r="S1234" t="s">
        <v>36</v>
      </c>
      <c r="T1234" t="str">
        <f>"85742"</f>
        <v>85742</v>
      </c>
      <c r="U1234" t="str">
        <f>""</f>
        <v/>
      </c>
      <c r="V1234" t="s">
        <v>4362</v>
      </c>
      <c r="X1234" t="s">
        <v>4169</v>
      </c>
      <c r="Y1234" t="s">
        <v>36</v>
      </c>
      <c r="Z1234" t="str">
        <f>"85742"</f>
        <v>85742</v>
      </c>
      <c r="AA1234" t="str">
        <f>""</f>
        <v/>
      </c>
      <c r="AB1234" t="s">
        <v>516</v>
      </c>
    </row>
    <row r="1235" spans="1:28" x14ac:dyDescent="0.25">
      <c r="A1235">
        <v>4404</v>
      </c>
      <c r="B1235" t="str">
        <f t="shared" si="204"/>
        <v>100206000</v>
      </c>
      <c r="C1235" t="s">
        <v>4344</v>
      </c>
      <c r="D1235">
        <v>5777</v>
      </c>
      <c r="E1235" t="str">
        <f>"100206119"</f>
        <v>100206119</v>
      </c>
      <c r="F1235" t="s">
        <v>4363</v>
      </c>
      <c r="G1235" t="s">
        <v>42</v>
      </c>
      <c r="H1235" t="s">
        <v>2756</v>
      </c>
      <c r="I1235" t="s">
        <v>4345</v>
      </c>
      <c r="J1235" t="s">
        <v>32</v>
      </c>
      <c r="K1235" t="str">
        <f t="shared" si="205"/>
        <v>5206824737</v>
      </c>
      <c r="L1235" t="str">
        <f>""</f>
        <v/>
      </c>
      <c r="M1235" t="str">
        <f t="shared" si="206"/>
        <v>5206822911</v>
      </c>
      <c r="N1235" t="str">
        <f>""</f>
        <v/>
      </c>
      <c r="O1235" t="s">
        <v>4352</v>
      </c>
      <c r="P1235" t="s">
        <v>4364</v>
      </c>
      <c r="R1235" t="s">
        <v>4169</v>
      </c>
      <c r="S1235" t="s">
        <v>36</v>
      </c>
      <c r="T1235" t="str">
        <f>"85743"</f>
        <v>85743</v>
      </c>
      <c r="U1235" t="str">
        <f>""</f>
        <v/>
      </c>
      <c r="V1235" t="s">
        <v>4364</v>
      </c>
      <c r="X1235" t="s">
        <v>4169</v>
      </c>
      <c r="Y1235" t="s">
        <v>36</v>
      </c>
      <c r="Z1235" t="str">
        <f>"85743"</f>
        <v>85743</v>
      </c>
      <c r="AA1235" t="str">
        <f>""</f>
        <v/>
      </c>
      <c r="AB1235" t="s">
        <v>516</v>
      </c>
    </row>
    <row r="1236" spans="1:28" x14ac:dyDescent="0.25">
      <c r="A1236">
        <v>4404</v>
      </c>
      <c r="B1236" t="str">
        <f t="shared" si="204"/>
        <v>100206000</v>
      </c>
      <c r="C1236" t="s">
        <v>4344</v>
      </c>
      <c r="D1236">
        <v>5779</v>
      </c>
      <c r="E1236" t="str">
        <f>"100206130"</f>
        <v>100206130</v>
      </c>
      <c r="F1236" t="s">
        <v>4365</v>
      </c>
      <c r="G1236" t="s">
        <v>42</v>
      </c>
      <c r="H1236" t="s">
        <v>2756</v>
      </c>
      <c r="I1236" t="s">
        <v>4345</v>
      </c>
      <c r="J1236" t="s">
        <v>32</v>
      </c>
      <c r="K1236" t="str">
        <f t="shared" si="205"/>
        <v>5206824737</v>
      </c>
      <c r="L1236" t="str">
        <f>""</f>
        <v/>
      </c>
      <c r="M1236" t="str">
        <f t="shared" si="206"/>
        <v>5206822911</v>
      </c>
      <c r="N1236" t="str">
        <f>""</f>
        <v/>
      </c>
      <c r="O1236" t="s">
        <v>4346</v>
      </c>
      <c r="P1236" t="s">
        <v>4366</v>
      </c>
      <c r="R1236" t="s">
        <v>4348</v>
      </c>
      <c r="S1236" t="s">
        <v>36</v>
      </c>
      <c r="T1236" t="str">
        <f>"85653"</f>
        <v>85653</v>
      </c>
      <c r="U1236" t="str">
        <f>""</f>
        <v/>
      </c>
      <c r="V1236" t="s">
        <v>4366</v>
      </c>
      <c r="X1236" t="s">
        <v>4348</v>
      </c>
      <c r="Y1236" t="s">
        <v>36</v>
      </c>
      <c r="Z1236" t="str">
        <f>"85653"</f>
        <v>85653</v>
      </c>
      <c r="AA1236" t="str">
        <f>""</f>
        <v/>
      </c>
      <c r="AB1236" t="s">
        <v>516</v>
      </c>
    </row>
    <row r="1237" spans="1:28" x14ac:dyDescent="0.25">
      <c r="A1237">
        <v>4404</v>
      </c>
      <c r="B1237" t="str">
        <f t="shared" si="204"/>
        <v>100206000</v>
      </c>
      <c r="C1237" t="s">
        <v>4344</v>
      </c>
      <c r="D1237">
        <v>5780</v>
      </c>
      <c r="E1237" t="str">
        <f>"100206131"</f>
        <v>100206131</v>
      </c>
      <c r="F1237" t="s">
        <v>4367</v>
      </c>
      <c r="G1237" t="s">
        <v>42</v>
      </c>
      <c r="H1237" t="s">
        <v>2756</v>
      </c>
      <c r="I1237" t="s">
        <v>4345</v>
      </c>
      <c r="J1237" t="s">
        <v>32</v>
      </c>
      <c r="K1237" t="str">
        <f t="shared" si="205"/>
        <v>5206824737</v>
      </c>
      <c r="L1237" t="str">
        <f>""</f>
        <v/>
      </c>
      <c r="M1237" t="str">
        <f t="shared" si="206"/>
        <v>5206822911</v>
      </c>
      <c r="N1237" t="str">
        <f>""</f>
        <v/>
      </c>
      <c r="O1237" t="s">
        <v>4346</v>
      </c>
      <c r="P1237" t="s">
        <v>4368</v>
      </c>
      <c r="R1237" t="s">
        <v>4169</v>
      </c>
      <c r="S1237" t="s">
        <v>36</v>
      </c>
      <c r="T1237" t="str">
        <f>"85742"</f>
        <v>85742</v>
      </c>
      <c r="U1237" t="str">
        <f>""</f>
        <v/>
      </c>
      <c r="V1237" t="s">
        <v>4368</v>
      </c>
      <c r="X1237" t="s">
        <v>4169</v>
      </c>
      <c r="Y1237" t="s">
        <v>36</v>
      </c>
      <c r="Z1237" t="str">
        <f>"85742"</f>
        <v>85742</v>
      </c>
      <c r="AA1237" t="str">
        <f>""</f>
        <v/>
      </c>
      <c r="AB1237" t="s">
        <v>516</v>
      </c>
    </row>
    <row r="1238" spans="1:28" x14ac:dyDescent="0.25">
      <c r="A1238">
        <v>4404</v>
      </c>
      <c r="B1238" t="str">
        <f t="shared" si="204"/>
        <v>100206000</v>
      </c>
      <c r="C1238" t="s">
        <v>4344</v>
      </c>
      <c r="D1238">
        <v>5781</v>
      </c>
      <c r="E1238" t="str">
        <f>"100206240"</f>
        <v>100206240</v>
      </c>
      <c r="F1238" t="s">
        <v>4369</v>
      </c>
      <c r="G1238" t="s">
        <v>42</v>
      </c>
      <c r="H1238" t="s">
        <v>2756</v>
      </c>
      <c r="I1238" t="s">
        <v>4345</v>
      </c>
      <c r="J1238" t="s">
        <v>32</v>
      </c>
      <c r="K1238" t="str">
        <f t="shared" si="205"/>
        <v>5206824737</v>
      </c>
      <c r="L1238" t="str">
        <f>""</f>
        <v/>
      </c>
      <c r="M1238" t="str">
        <f t="shared" si="206"/>
        <v>5206822911</v>
      </c>
      <c r="N1238" t="str">
        <f>""</f>
        <v/>
      </c>
      <c r="O1238" t="s">
        <v>4346</v>
      </c>
      <c r="P1238" t="s">
        <v>4370</v>
      </c>
      <c r="R1238" t="s">
        <v>4169</v>
      </c>
      <c r="S1238" t="s">
        <v>36</v>
      </c>
      <c r="T1238" t="str">
        <f>"85743"</f>
        <v>85743</v>
      </c>
      <c r="U1238" t="str">
        <f>""</f>
        <v/>
      </c>
      <c r="V1238" t="s">
        <v>4370</v>
      </c>
      <c r="X1238" t="s">
        <v>4169</v>
      </c>
      <c r="Y1238" t="s">
        <v>36</v>
      </c>
      <c r="Z1238" t="str">
        <f>"85743"</f>
        <v>85743</v>
      </c>
      <c r="AA1238" t="str">
        <f>""</f>
        <v/>
      </c>
      <c r="AB1238" t="s">
        <v>516</v>
      </c>
    </row>
    <row r="1239" spans="1:28" x14ac:dyDescent="0.25">
      <c r="A1239">
        <v>4404</v>
      </c>
      <c r="B1239" t="str">
        <f t="shared" si="204"/>
        <v>100206000</v>
      </c>
      <c r="C1239" t="s">
        <v>4344</v>
      </c>
      <c r="D1239">
        <v>5782</v>
      </c>
      <c r="E1239" t="str">
        <f>"100206241"</f>
        <v>100206241</v>
      </c>
      <c r="F1239" t="s">
        <v>1105</v>
      </c>
      <c r="G1239" t="s">
        <v>42</v>
      </c>
      <c r="H1239" t="s">
        <v>2756</v>
      </c>
      <c r="I1239" t="s">
        <v>4345</v>
      </c>
      <c r="J1239" t="s">
        <v>32</v>
      </c>
      <c r="K1239" t="str">
        <f t="shared" si="205"/>
        <v>5206824737</v>
      </c>
      <c r="L1239" t="str">
        <f>""</f>
        <v/>
      </c>
      <c r="M1239" t="str">
        <f t="shared" si="206"/>
        <v>5206822911</v>
      </c>
      <c r="N1239" t="str">
        <f>""</f>
        <v/>
      </c>
      <c r="O1239" t="s">
        <v>4346</v>
      </c>
      <c r="P1239" t="s">
        <v>4371</v>
      </c>
      <c r="R1239" t="s">
        <v>4169</v>
      </c>
      <c r="S1239" t="s">
        <v>36</v>
      </c>
      <c r="T1239" t="str">
        <f>"85742"</f>
        <v>85742</v>
      </c>
      <c r="U1239" t="str">
        <f>""</f>
        <v/>
      </c>
      <c r="V1239" t="s">
        <v>4371</v>
      </c>
      <c r="X1239" t="s">
        <v>4169</v>
      </c>
      <c r="Y1239" t="s">
        <v>36</v>
      </c>
      <c r="Z1239" t="str">
        <f>"85742"</f>
        <v>85742</v>
      </c>
      <c r="AA1239" t="str">
        <f>""</f>
        <v/>
      </c>
      <c r="AB1239" t="s">
        <v>516</v>
      </c>
    </row>
    <row r="1240" spans="1:28" x14ac:dyDescent="0.25">
      <c r="A1240">
        <v>4404</v>
      </c>
      <c r="B1240" t="str">
        <f t="shared" si="204"/>
        <v>100206000</v>
      </c>
      <c r="C1240" t="s">
        <v>4344</v>
      </c>
      <c r="D1240">
        <v>79445</v>
      </c>
      <c r="E1240" t="str">
        <f>"100206121"</f>
        <v>100206121</v>
      </c>
      <c r="F1240" t="s">
        <v>4372</v>
      </c>
      <c r="G1240" t="s">
        <v>42</v>
      </c>
      <c r="H1240" t="s">
        <v>2756</v>
      </c>
      <c r="I1240" t="s">
        <v>4345</v>
      </c>
      <c r="J1240" t="s">
        <v>32</v>
      </c>
      <c r="K1240" t="str">
        <f t="shared" si="205"/>
        <v>5206824737</v>
      </c>
      <c r="L1240" t="str">
        <f>""</f>
        <v/>
      </c>
      <c r="M1240" t="str">
        <f t="shared" si="206"/>
        <v>5206822911</v>
      </c>
      <c r="N1240" t="str">
        <f>""</f>
        <v/>
      </c>
      <c r="O1240" t="s">
        <v>4346</v>
      </c>
      <c r="P1240" t="s">
        <v>4373</v>
      </c>
      <c r="R1240" t="s">
        <v>4169</v>
      </c>
      <c r="S1240" t="s">
        <v>36</v>
      </c>
      <c r="T1240" t="str">
        <f>"85743"</f>
        <v>85743</v>
      </c>
      <c r="U1240" t="str">
        <f>""</f>
        <v/>
      </c>
      <c r="V1240" t="s">
        <v>4373</v>
      </c>
      <c r="X1240" t="s">
        <v>4169</v>
      </c>
      <c r="Y1240" t="s">
        <v>36</v>
      </c>
      <c r="Z1240" t="str">
        <f>"85743"</f>
        <v>85743</v>
      </c>
      <c r="AA1240" t="str">
        <f>""</f>
        <v/>
      </c>
      <c r="AB1240" t="s">
        <v>516</v>
      </c>
    </row>
    <row r="1241" spans="1:28" x14ac:dyDescent="0.25">
      <c r="A1241">
        <v>4404</v>
      </c>
      <c r="B1241" t="str">
        <f t="shared" si="204"/>
        <v>100206000</v>
      </c>
      <c r="C1241" t="s">
        <v>4344</v>
      </c>
      <c r="D1241">
        <v>89585</v>
      </c>
      <c r="E1241" t="str">
        <f>"100206122"</f>
        <v>100206122</v>
      </c>
      <c r="F1241" t="s">
        <v>4374</v>
      </c>
      <c r="G1241" t="s">
        <v>42</v>
      </c>
      <c r="H1241" t="s">
        <v>2756</v>
      </c>
      <c r="I1241" t="s">
        <v>4345</v>
      </c>
      <c r="J1241" t="s">
        <v>32</v>
      </c>
      <c r="K1241" t="str">
        <f t="shared" si="205"/>
        <v>5206824737</v>
      </c>
      <c r="L1241" t="str">
        <f>""</f>
        <v/>
      </c>
      <c r="M1241" t="str">
        <f t="shared" si="206"/>
        <v>5206822911</v>
      </c>
      <c r="N1241" t="str">
        <f>""</f>
        <v/>
      </c>
      <c r="O1241" t="s">
        <v>4346</v>
      </c>
      <c r="P1241" t="s">
        <v>4375</v>
      </c>
      <c r="R1241" t="s">
        <v>4169</v>
      </c>
      <c r="S1241" t="s">
        <v>36</v>
      </c>
      <c r="T1241" t="str">
        <f>"85743"</f>
        <v>85743</v>
      </c>
      <c r="U1241" t="str">
        <f>""</f>
        <v/>
      </c>
      <c r="V1241" t="s">
        <v>4375</v>
      </c>
      <c r="X1241" t="s">
        <v>4169</v>
      </c>
      <c r="Y1241" t="s">
        <v>36</v>
      </c>
      <c r="Z1241" t="str">
        <f>"85743"</f>
        <v>85743</v>
      </c>
      <c r="AA1241" t="str">
        <f>""</f>
        <v/>
      </c>
      <c r="AB1241" t="s">
        <v>516</v>
      </c>
    </row>
    <row r="1242" spans="1:28" x14ac:dyDescent="0.25">
      <c r="A1242">
        <v>4404</v>
      </c>
      <c r="B1242" t="str">
        <f t="shared" si="204"/>
        <v>100206000</v>
      </c>
      <c r="C1242" t="s">
        <v>4344</v>
      </c>
      <c r="D1242">
        <v>713837</v>
      </c>
      <c r="E1242" t="str">
        <f>"100206123"</f>
        <v>100206123</v>
      </c>
      <c r="F1242" t="s">
        <v>4376</v>
      </c>
      <c r="G1242" t="s">
        <v>42</v>
      </c>
      <c r="H1242" t="s">
        <v>615</v>
      </c>
      <c r="I1242" t="s">
        <v>3376</v>
      </c>
      <c r="J1242" t="s">
        <v>825</v>
      </c>
      <c r="K1242" t="str">
        <f>"5206821187"</f>
        <v>5206821187</v>
      </c>
      <c r="L1242" t="str">
        <f>""</f>
        <v/>
      </c>
      <c r="M1242" t="str">
        <f t="shared" si="206"/>
        <v>5206822911</v>
      </c>
      <c r="N1242" t="str">
        <f>""</f>
        <v/>
      </c>
      <c r="O1242" t="s">
        <v>4377</v>
      </c>
      <c r="P1242" t="s">
        <v>4378</v>
      </c>
      <c r="R1242" t="s">
        <v>4348</v>
      </c>
      <c r="S1242" t="s">
        <v>36</v>
      </c>
      <c r="T1242" t="str">
        <f>"85653"</f>
        <v>85653</v>
      </c>
      <c r="U1242" t="str">
        <f>""</f>
        <v/>
      </c>
      <c r="V1242" t="s">
        <v>4378</v>
      </c>
      <c r="X1242" t="s">
        <v>4348</v>
      </c>
      <c r="Y1242" t="s">
        <v>36</v>
      </c>
      <c r="Z1242" t="str">
        <f>"85653"</f>
        <v>85653</v>
      </c>
      <c r="AA1242" t="str">
        <f>""</f>
        <v/>
      </c>
      <c r="AB1242" t="s">
        <v>516</v>
      </c>
    </row>
    <row r="1243" spans="1:28" x14ac:dyDescent="0.25">
      <c r="A1243">
        <v>4405</v>
      </c>
      <c r="B1243" t="str">
        <f t="shared" ref="B1243:B1252" si="207">"100208000"</f>
        <v>100208000</v>
      </c>
      <c r="C1243" t="s">
        <v>4379</v>
      </c>
      <c r="D1243">
        <v>0</v>
      </c>
      <c r="E1243" t="str">
        <f>""</f>
        <v/>
      </c>
      <c r="G1243" t="s">
        <v>29</v>
      </c>
      <c r="H1243" t="s">
        <v>4380</v>
      </c>
      <c r="I1243" t="s">
        <v>4381</v>
      </c>
      <c r="J1243" t="s">
        <v>3361</v>
      </c>
      <c r="K1243" t="str">
        <f>"5206968828"</f>
        <v>5206968828</v>
      </c>
      <c r="L1243" t="str">
        <f>""</f>
        <v/>
      </c>
      <c r="M1243" t="str">
        <f>"5206902330"</f>
        <v>5206902330</v>
      </c>
      <c r="N1243" t="str">
        <f>""</f>
        <v/>
      </c>
      <c r="O1243" t="s">
        <v>4382</v>
      </c>
      <c r="P1243" t="s">
        <v>4383</v>
      </c>
      <c r="R1243" t="s">
        <v>4169</v>
      </c>
      <c r="S1243" t="s">
        <v>36</v>
      </c>
      <c r="T1243" t="str">
        <f>"85705"</f>
        <v>85705</v>
      </c>
      <c r="U1243" t="str">
        <f>""</f>
        <v/>
      </c>
      <c r="V1243" t="s">
        <v>4383</v>
      </c>
      <c r="X1243" t="s">
        <v>4169</v>
      </c>
      <c r="Y1243" t="s">
        <v>36</v>
      </c>
      <c r="Z1243" t="str">
        <f>"85705"</f>
        <v>85705</v>
      </c>
      <c r="AA1243" t="str">
        <f>""</f>
        <v/>
      </c>
      <c r="AB1243" t="s">
        <v>265</v>
      </c>
    </row>
    <row r="1244" spans="1:28" x14ac:dyDescent="0.25">
      <c r="A1244">
        <v>4405</v>
      </c>
      <c r="B1244" t="str">
        <f t="shared" si="207"/>
        <v>100208000</v>
      </c>
      <c r="C1244" t="s">
        <v>4379</v>
      </c>
      <c r="D1244">
        <v>5784</v>
      </c>
      <c r="E1244" t="str">
        <f>"100208110"</f>
        <v>100208110</v>
      </c>
      <c r="F1244" t="s">
        <v>2208</v>
      </c>
      <c r="G1244" t="s">
        <v>42</v>
      </c>
      <c r="H1244" t="s">
        <v>467</v>
      </c>
      <c r="I1244" t="s">
        <v>2896</v>
      </c>
      <c r="J1244" t="s">
        <v>4384</v>
      </c>
      <c r="K1244" t="str">
        <f>"5206968229"</f>
        <v>5206968229</v>
      </c>
      <c r="L1244" t="str">
        <f>""</f>
        <v/>
      </c>
      <c r="M1244" t="str">
        <f>"5208870641"</f>
        <v>5208870641</v>
      </c>
      <c r="N1244" t="str">
        <f>""</f>
        <v/>
      </c>
      <c r="O1244" t="s">
        <v>4385</v>
      </c>
      <c r="P1244" t="s">
        <v>4386</v>
      </c>
      <c r="R1244" t="s">
        <v>4169</v>
      </c>
      <c r="S1244" t="s">
        <v>36</v>
      </c>
      <c r="T1244" t="str">
        <f>"85705"</f>
        <v>85705</v>
      </c>
      <c r="U1244" t="str">
        <f>""</f>
        <v/>
      </c>
      <c r="V1244" t="s">
        <v>4386</v>
      </c>
      <c r="X1244" t="s">
        <v>4169</v>
      </c>
      <c r="Y1244" t="s">
        <v>36</v>
      </c>
      <c r="Z1244" t="str">
        <f>"85705"</f>
        <v>85705</v>
      </c>
      <c r="AA1244" t="str">
        <f>""</f>
        <v/>
      </c>
      <c r="AB1244" t="s">
        <v>265</v>
      </c>
    </row>
    <row r="1245" spans="1:28" x14ac:dyDescent="0.25">
      <c r="A1245">
        <v>4405</v>
      </c>
      <c r="B1245" t="str">
        <f t="shared" si="207"/>
        <v>100208000</v>
      </c>
      <c r="C1245" t="s">
        <v>4379</v>
      </c>
      <c r="D1245">
        <v>5785</v>
      </c>
      <c r="E1245" t="str">
        <f>"100208120"</f>
        <v>100208120</v>
      </c>
      <c r="F1245" t="s">
        <v>4387</v>
      </c>
      <c r="G1245" t="s">
        <v>42</v>
      </c>
      <c r="H1245" t="s">
        <v>3527</v>
      </c>
      <c r="I1245" t="s">
        <v>4388</v>
      </c>
      <c r="J1245" t="s">
        <v>4389</v>
      </c>
      <c r="K1245" t="str">
        <f>"5206968260"</f>
        <v>5206968260</v>
      </c>
      <c r="L1245" t="str">
        <f>""</f>
        <v/>
      </c>
      <c r="M1245" t="str">
        <f>""</f>
        <v/>
      </c>
      <c r="N1245" t="str">
        <f>""</f>
        <v/>
      </c>
      <c r="O1245" t="s">
        <v>4390</v>
      </c>
      <c r="P1245" t="s">
        <v>4391</v>
      </c>
      <c r="R1245" t="s">
        <v>4169</v>
      </c>
      <c r="S1245" t="s">
        <v>36</v>
      </c>
      <c r="T1245" t="str">
        <f>"85705"</f>
        <v>85705</v>
      </c>
      <c r="U1245" t="str">
        <f>""</f>
        <v/>
      </c>
      <c r="V1245" t="s">
        <v>4391</v>
      </c>
      <c r="X1245" t="s">
        <v>4169</v>
      </c>
      <c r="Y1245" t="s">
        <v>36</v>
      </c>
      <c r="Z1245" t="str">
        <f>"85705"</f>
        <v>85705</v>
      </c>
      <c r="AA1245" t="str">
        <f>""</f>
        <v/>
      </c>
      <c r="AB1245" t="s">
        <v>265</v>
      </c>
    </row>
    <row r="1246" spans="1:28" x14ac:dyDescent="0.25">
      <c r="A1246">
        <v>4405</v>
      </c>
      <c r="B1246" t="str">
        <f t="shared" si="207"/>
        <v>100208000</v>
      </c>
      <c r="C1246" t="s">
        <v>4379</v>
      </c>
      <c r="D1246">
        <v>5786</v>
      </c>
      <c r="E1246" t="str">
        <f>"100208130"</f>
        <v>100208130</v>
      </c>
      <c r="F1246" t="s">
        <v>4392</v>
      </c>
      <c r="G1246" t="s">
        <v>42</v>
      </c>
      <c r="H1246" t="s">
        <v>2932</v>
      </c>
      <c r="I1246" t="s">
        <v>4393</v>
      </c>
      <c r="J1246" t="s">
        <v>4389</v>
      </c>
      <c r="K1246" t="str">
        <f>"5206968344"</f>
        <v>5206968344</v>
      </c>
      <c r="L1246" t="str">
        <f>""</f>
        <v/>
      </c>
      <c r="M1246" t="str">
        <f>""</f>
        <v/>
      </c>
      <c r="N1246" t="str">
        <f>""</f>
        <v/>
      </c>
      <c r="O1246" t="s">
        <v>4394</v>
      </c>
      <c r="P1246" t="s">
        <v>4395</v>
      </c>
      <c r="R1246" t="s">
        <v>4169</v>
      </c>
      <c r="S1246" t="s">
        <v>36</v>
      </c>
      <c r="T1246" t="str">
        <f>"85705"</f>
        <v>85705</v>
      </c>
      <c r="U1246" t="str">
        <f>""</f>
        <v/>
      </c>
      <c r="V1246" t="s">
        <v>4395</v>
      </c>
      <c r="X1246" t="s">
        <v>4169</v>
      </c>
      <c r="Y1246" t="s">
        <v>36</v>
      </c>
      <c r="Z1246" t="str">
        <f>"85705"</f>
        <v>85705</v>
      </c>
      <c r="AA1246" t="str">
        <f>""</f>
        <v/>
      </c>
      <c r="AB1246" t="s">
        <v>265</v>
      </c>
    </row>
    <row r="1247" spans="1:28" x14ac:dyDescent="0.25">
      <c r="A1247">
        <v>4405</v>
      </c>
      <c r="B1247" t="str">
        <f t="shared" si="207"/>
        <v>100208000</v>
      </c>
      <c r="C1247" t="s">
        <v>4379</v>
      </c>
      <c r="D1247">
        <v>5787</v>
      </c>
      <c r="E1247" t="str">
        <f>"100208140"</f>
        <v>100208140</v>
      </c>
      <c r="F1247" t="s">
        <v>4396</v>
      </c>
      <c r="G1247" t="s">
        <v>42</v>
      </c>
      <c r="H1247" t="s">
        <v>398</v>
      </c>
      <c r="I1247" t="s">
        <v>3103</v>
      </c>
      <c r="J1247" t="s">
        <v>4384</v>
      </c>
      <c r="K1247" t="str">
        <f>"5206968408"</f>
        <v>5206968408</v>
      </c>
      <c r="L1247" t="str">
        <f>""</f>
        <v/>
      </c>
      <c r="M1247" t="str">
        <f>""</f>
        <v/>
      </c>
      <c r="N1247" t="str">
        <f>""</f>
        <v/>
      </c>
      <c r="O1247" t="s">
        <v>4397</v>
      </c>
      <c r="P1247" t="s">
        <v>4398</v>
      </c>
      <c r="R1247" t="s">
        <v>4169</v>
      </c>
      <c r="S1247" t="s">
        <v>36</v>
      </c>
      <c r="T1247" t="str">
        <f>"85741"</f>
        <v>85741</v>
      </c>
      <c r="U1247" t="str">
        <f>""</f>
        <v/>
      </c>
      <c r="V1247" t="s">
        <v>4398</v>
      </c>
      <c r="X1247" t="s">
        <v>4169</v>
      </c>
      <c r="Y1247" t="s">
        <v>36</v>
      </c>
      <c r="Z1247" t="str">
        <f>"85741"</f>
        <v>85741</v>
      </c>
      <c r="AA1247" t="str">
        <f>""</f>
        <v/>
      </c>
      <c r="AB1247" t="s">
        <v>265</v>
      </c>
    </row>
    <row r="1248" spans="1:28" x14ac:dyDescent="0.25">
      <c r="A1248">
        <v>4405</v>
      </c>
      <c r="B1248" t="str">
        <f t="shared" si="207"/>
        <v>100208000</v>
      </c>
      <c r="C1248" t="s">
        <v>4379</v>
      </c>
      <c r="D1248">
        <v>5788</v>
      </c>
      <c r="E1248" t="str">
        <f>"100208150"</f>
        <v>100208150</v>
      </c>
      <c r="F1248" t="s">
        <v>1492</v>
      </c>
      <c r="G1248" t="s">
        <v>42</v>
      </c>
      <c r="H1248" t="s">
        <v>4399</v>
      </c>
      <c r="I1248" t="s">
        <v>1814</v>
      </c>
      <c r="J1248" t="s">
        <v>4389</v>
      </c>
      <c r="K1248" t="str">
        <f>"5206968487"</f>
        <v>5206968487</v>
      </c>
      <c r="L1248" t="str">
        <f>""</f>
        <v/>
      </c>
      <c r="M1248" t="str">
        <f>""</f>
        <v/>
      </c>
      <c r="N1248" t="str">
        <f>""</f>
        <v/>
      </c>
      <c r="O1248" t="s">
        <v>4400</v>
      </c>
      <c r="P1248" t="s">
        <v>4401</v>
      </c>
      <c r="R1248" t="s">
        <v>4169</v>
      </c>
      <c r="S1248" t="s">
        <v>36</v>
      </c>
      <c r="T1248" t="str">
        <f>"85705"</f>
        <v>85705</v>
      </c>
      <c r="U1248" t="str">
        <f>""</f>
        <v/>
      </c>
      <c r="V1248" t="s">
        <v>4401</v>
      </c>
      <c r="X1248" t="s">
        <v>4169</v>
      </c>
      <c r="Y1248" t="s">
        <v>36</v>
      </c>
      <c r="Z1248" t="str">
        <f>"85705"</f>
        <v>85705</v>
      </c>
      <c r="AA1248" t="str">
        <f>""</f>
        <v/>
      </c>
      <c r="AB1248" t="s">
        <v>265</v>
      </c>
    </row>
    <row r="1249" spans="1:28" x14ac:dyDescent="0.25">
      <c r="A1249">
        <v>4405</v>
      </c>
      <c r="B1249" t="str">
        <f t="shared" si="207"/>
        <v>100208000</v>
      </c>
      <c r="C1249" t="s">
        <v>4379</v>
      </c>
      <c r="D1249">
        <v>5789</v>
      </c>
      <c r="E1249" t="str">
        <f>"100208160"</f>
        <v>100208160</v>
      </c>
      <c r="F1249" t="s">
        <v>4402</v>
      </c>
      <c r="G1249" t="s">
        <v>42</v>
      </c>
      <c r="H1249" t="s">
        <v>398</v>
      </c>
      <c r="I1249" t="s">
        <v>4165</v>
      </c>
      <c r="J1249" t="s">
        <v>4389</v>
      </c>
      <c r="K1249" t="str">
        <f>"5206968511"</f>
        <v>5206968511</v>
      </c>
      <c r="L1249" t="str">
        <f>""</f>
        <v/>
      </c>
      <c r="M1249" t="str">
        <f>""</f>
        <v/>
      </c>
      <c r="N1249" t="str">
        <f>""</f>
        <v/>
      </c>
      <c r="O1249" t="s">
        <v>4403</v>
      </c>
      <c r="P1249" t="s">
        <v>4404</v>
      </c>
      <c r="R1249" t="s">
        <v>4169</v>
      </c>
      <c r="S1249" t="s">
        <v>36</v>
      </c>
      <c r="T1249" t="str">
        <f>"85741"</f>
        <v>85741</v>
      </c>
      <c r="U1249" t="str">
        <f>""</f>
        <v/>
      </c>
      <c r="V1249" t="s">
        <v>4404</v>
      </c>
      <c r="X1249" t="s">
        <v>4169</v>
      </c>
      <c r="Y1249" t="s">
        <v>36</v>
      </c>
      <c r="Z1249" t="str">
        <f>"85741"</f>
        <v>85741</v>
      </c>
      <c r="AA1249" t="str">
        <f>""</f>
        <v/>
      </c>
      <c r="AB1249" t="s">
        <v>265</v>
      </c>
    </row>
    <row r="1250" spans="1:28" x14ac:dyDescent="0.25">
      <c r="A1250">
        <v>4405</v>
      </c>
      <c r="B1250" t="str">
        <f t="shared" si="207"/>
        <v>100208000</v>
      </c>
      <c r="C1250" t="s">
        <v>4379</v>
      </c>
      <c r="D1250">
        <v>5790</v>
      </c>
      <c r="E1250" t="str">
        <f>"100208170"</f>
        <v>100208170</v>
      </c>
      <c r="F1250" t="s">
        <v>4405</v>
      </c>
      <c r="G1250" t="s">
        <v>42</v>
      </c>
      <c r="H1250" t="s">
        <v>4406</v>
      </c>
      <c r="I1250" t="s">
        <v>306</v>
      </c>
      <c r="J1250" t="s">
        <v>4389</v>
      </c>
      <c r="K1250" t="str">
        <f>"5206968623"</f>
        <v>5206968623</v>
      </c>
      <c r="L1250" t="str">
        <f>""</f>
        <v/>
      </c>
      <c r="M1250" t="str">
        <f>""</f>
        <v/>
      </c>
      <c r="N1250" t="str">
        <f>""</f>
        <v/>
      </c>
      <c r="O1250" t="s">
        <v>4407</v>
      </c>
      <c r="P1250" t="s">
        <v>4383</v>
      </c>
      <c r="R1250" t="s">
        <v>4169</v>
      </c>
      <c r="S1250" t="s">
        <v>36</v>
      </c>
      <c r="T1250" t="str">
        <f>"85705"</f>
        <v>85705</v>
      </c>
      <c r="U1250" t="str">
        <f>""</f>
        <v/>
      </c>
      <c r="V1250" t="s">
        <v>4383</v>
      </c>
      <c r="X1250" t="s">
        <v>4169</v>
      </c>
      <c r="Y1250" t="s">
        <v>36</v>
      </c>
      <c r="Z1250" t="str">
        <f>"85705"</f>
        <v>85705</v>
      </c>
      <c r="AA1250" t="str">
        <f>""</f>
        <v/>
      </c>
      <c r="AB1250" t="s">
        <v>265</v>
      </c>
    </row>
    <row r="1251" spans="1:28" x14ac:dyDescent="0.25">
      <c r="A1251">
        <v>4405</v>
      </c>
      <c r="B1251" t="str">
        <f t="shared" si="207"/>
        <v>100208000</v>
      </c>
      <c r="C1251" t="s">
        <v>4379</v>
      </c>
      <c r="D1251">
        <v>5791</v>
      </c>
      <c r="E1251" t="str">
        <f>"100208210"</f>
        <v>100208210</v>
      </c>
      <c r="F1251" t="s">
        <v>4408</v>
      </c>
      <c r="G1251" t="s">
        <v>42</v>
      </c>
      <c r="H1251" t="s">
        <v>4409</v>
      </c>
      <c r="I1251" t="s">
        <v>4410</v>
      </c>
      <c r="J1251" t="s">
        <v>4389</v>
      </c>
      <c r="K1251" t="str">
        <f>"5206968154"</f>
        <v>5206968154</v>
      </c>
      <c r="L1251" t="str">
        <f>""</f>
        <v/>
      </c>
      <c r="M1251" t="str">
        <f>""</f>
        <v/>
      </c>
      <c r="N1251" t="str">
        <f>""</f>
        <v/>
      </c>
      <c r="O1251" t="s">
        <v>4411</v>
      </c>
      <c r="P1251" t="s">
        <v>4412</v>
      </c>
      <c r="R1251" t="s">
        <v>4169</v>
      </c>
      <c r="S1251" t="s">
        <v>36</v>
      </c>
      <c r="T1251" t="str">
        <f>"85705"</f>
        <v>85705</v>
      </c>
      <c r="U1251" t="str">
        <f>""</f>
        <v/>
      </c>
      <c r="V1251" t="s">
        <v>4412</v>
      </c>
      <c r="X1251" t="s">
        <v>4169</v>
      </c>
      <c r="Y1251" t="s">
        <v>36</v>
      </c>
      <c r="Z1251" t="str">
        <f>"85705"</f>
        <v>85705</v>
      </c>
      <c r="AA1251" t="str">
        <f>""</f>
        <v/>
      </c>
      <c r="AB1251" t="s">
        <v>265</v>
      </c>
    </row>
    <row r="1252" spans="1:28" x14ac:dyDescent="0.25">
      <c r="A1252">
        <v>4405</v>
      </c>
      <c r="B1252" t="str">
        <f t="shared" si="207"/>
        <v>100208000</v>
      </c>
      <c r="C1252" t="s">
        <v>4379</v>
      </c>
      <c r="D1252">
        <v>6054</v>
      </c>
      <c r="E1252" t="str">
        <f>"100208020"</f>
        <v>100208020</v>
      </c>
      <c r="F1252" t="s">
        <v>4413</v>
      </c>
      <c r="G1252" t="s">
        <v>42</v>
      </c>
      <c r="H1252" t="s">
        <v>4414</v>
      </c>
      <c r="I1252" t="s">
        <v>4415</v>
      </c>
      <c r="J1252" t="s">
        <v>32</v>
      </c>
      <c r="K1252" t="str">
        <f>"5206968623"</f>
        <v>5206968623</v>
      </c>
      <c r="L1252" t="str">
        <f>""</f>
        <v/>
      </c>
      <c r="M1252" t="str">
        <f>""</f>
        <v/>
      </c>
      <c r="N1252" t="str">
        <f>""</f>
        <v/>
      </c>
      <c r="O1252" t="s">
        <v>4416</v>
      </c>
      <c r="P1252" t="s">
        <v>4417</v>
      </c>
      <c r="R1252" t="s">
        <v>4169</v>
      </c>
      <c r="S1252" t="s">
        <v>36</v>
      </c>
      <c r="T1252" t="str">
        <f>"85741"</f>
        <v>85741</v>
      </c>
      <c r="U1252" t="str">
        <f>""</f>
        <v/>
      </c>
      <c r="V1252" t="s">
        <v>4417</v>
      </c>
      <c r="X1252" t="s">
        <v>4169</v>
      </c>
      <c r="Y1252" t="s">
        <v>36</v>
      </c>
      <c r="Z1252" t="str">
        <f>"85741"</f>
        <v>85741</v>
      </c>
      <c r="AA1252" t="str">
        <f>""</f>
        <v/>
      </c>
      <c r="AB1252" t="s">
        <v>265</v>
      </c>
    </row>
    <row r="1253" spans="1:28" x14ac:dyDescent="0.25">
      <c r="A1253">
        <v>4406</v>
      </c>
      <c r="B1253" t="str">
        <f t="shared" ref="B1253:B1275" si="208">"100210000"</f>
        <v>100210000</v>
      </c>
      <c r="C1253" t="s">
        <v>4418</v>
      </c>
      <c r="D1253">
        <v>0</v>
      </c>
      <c r="E1253" t="str">
        <f>""</f>
        <v/>
      </c>
      <c r="G1253" t="s">
        <v>29</v>
      </c>
      <c r="H1253" t="s">
        <v>4419</v>
      </c>
      <c r="I1253" t="s">
        <v>4420</v>
      </c>
      <c r="J1253" t="s">
        <v>4421</v>
      </c>
      <c r="K1253" t="str">
        <f t="shared" ref="K1253:K1275" si="209">"5206963715"</f>
        <v>5206963715</v>
      </c>
      <c r="L1253" t="str">
        <f>""</f>
        <v/>
      </c>
      <c r="M1253" t="str">
        <f t="shared" ref="M1253:M1275" si="210">"5206963798"</f>
        <v>5206963798</v>
      </c>
      <c r="N1253" t="str">
        <f>""</f>
        <v/>
      </c>
      <c r="O1253" t="s">
        <v>4422</v>
      </c>
      <c r="P1253" t="s">
        <v>4423</v>
      </c>
      <c r="R1253" t="s">
        <v>4424</v>
      </c>
      <c r="S1253" t="s">
        <v>36</v>
      </c>
      <c r="T1253" t="str">
        <f>"85705"</f>
        <v>85705</v>
      </c>
      <c r="U1253" t="str">
        <f>""</f>
        <v/>
      </c>
      <c r="V1253" t="s">
        <v>4425</v>
      </c>
      <c r="X1253" t="s">
        <v>4169</v>
      </c>
      <c r="Y1253" t="s">
        <v>36</v>
      </c>
      <c r="Z1253" t="str">
        <f>"85705"</f>
        <v>85705</v>
      </c>
      <c r="AA1253" t="str">
        <f>""</f>
        <v/>
      </c>
      <c r="AB1253" t="s">
        <v>699</v>
      </c>
    </row>
    <row r="1254" spans="1:28" x14ac:dyDescent="0.25">
      <c r="A1254">
        <v>4406</v>
      </c>
      <c r="B1254" t="str">
        <f t="shared" si="208"/>
        <v>100210000</v>
      </c>
      <c r="C1254" t="s">
        <v>4418</v>
      </c>
      <c r="D1254">
        <v>5792</v>
      </c>
      <c r="E1254" t="str">
        <f>"100210106"</f>
        <v>100210106</v>
      </c>
      <c r="F1254" t="s">
        <v>4426</v>
      </c>
      <c r="G1254" t="s">
        <v>42</v>
      </c>
      <c r="H1254" t="s">
        <v>4419</v>
      </c>
      <c r="I1254" t="s">
        <v>4420</v>
      </c>
      <c r="J1254" t="s">
        <v>4421</v>
      </c>
      <c r="K1254" t="str">
        <f t="shared" si="209"/>
        <v>5206963715</v>
      </c>
      <c r="L1254" t="str">
        <f>""</f>
        <v/>
      </c>
      <c r="M1254" t="str">
        <f t="shared" si="210"/>
        <v>5206963798</v>
      </c>
      <c r="N1254" t="str">
        <f>""</f>
        <v/>
      </c>
      <c r="O1254" t="s">
        <v>4422</v>
      </c>
      <c r="P1254" t="s">
        <v>4427</v>
      </c>
      <c r="R1254" t="s">
        <v>4169</v>
      </c>
      <c r="S1254" t="s">
        <v>36</v>
      </c>
      <c r="T1254" t="str">
        <f>"85704"</f>
        <v>85704</v>
      </c>
      <c r="U1254" t="str">
        <f>""</f>
        <v/>
      </c>
      <c r="V1254" t="s">
        <v>4427</v>
      </c>
      <c r="X1254" t="s">
        <v>4169</v>
      </c>
      <c r="Y1254" t="s">
        <v>36</v>
      </c>
      <c r="Z1254" t="str">
        <f>"85704"</f>
        <v>85704</v>
      </c>
      <c r="AA1254" t="str">
        <f>""</f>
        <v/>
      </c>
      <c r="AB1254" t="s">
        <v>699</v>
      </c>
    </row>
    <row r="1255" spans="1:28" x14ac:dyDescent="0.25">
      <c r="A1255">
        <v>4406</v>
      </c>
      <c r="B1255" t="str">
        <f t="shared" si="208"/>
        <v>100210000</v>
      </c>
      <c r="C1255" t="s">
        <v>4418</v>
      </c>
      <c r="D1255">
        <v>5793</v>
      </c>
      <c r="E1255" t="str">
        <f>"100210107"</f>
        <v>100210107</v>
      </c>
      <c r="F1255" t="s">
        <v>4428</v>
      </c>
      <c r="G1255" t="s">
        <v>42</v>
      </c>
      <c r="H1255" t="s">
        <v>4419</v>
      </c>
      <c r="I1255" t="s">
        <v>4420</v>
      </c>
      <c r="J1255" t="s">
        <v>4421</v>
      </c>
      <c r="K1255" t="str">
        <f t="shared" si="209"/>
        <v>5206963715</v>
      </c>
      <c r="L1255" t="str">
        <f>""</f>
        <v/>
      </c>
      <c r="M1255" t="str">
        <f t="shared" si="210"/>
        <v>5206963798</v>
      </c>
      <c r="N1255" t="str">
        <f>""</f>
        <v/>
      </c>
      <c r="O1255" t="s">
        <v>4422</v>
      </c>
      <c r="P1255" t="s">
        <v>4429</v>
      </c>
      <c r="R1255" t="s">
        <v>4169</v>
      </c>
      <c r="S1255" t="s">
        <v>36</v>
      </c>
      <c r="T1255" t="str">
        <f>"85704"</f>
        <v>85704</v>
      </c>
      <c r="U1255" t="str">
        <f>""</f>
        <v/>
      </c>
      <c r="V1255" t="s">
        <v>4429</v>
      </c>
      <c r="X1255" t="s">
        <v>4169</v>
      </c>
      <c r="Y1255" t="s">
        <v>36</v>
      </c>
      <c r="Z1255" t="str">
        <f>"85704"</f>
        <v>85704</v>
      </c>
      <c r="AA1255" t="str">
        <f>""</f>
        <v/>
      </c>
      <c r="AB1255" t="s">
        <v>699</v>
      </c>
    </row>
    <row r="1256" spans="1:28" x14ac:dyDescent="0.25">
      <c r="A1256">
        <v>4406</v>
      </c>
      <c r="B1256" t="str">
        <f t="shared" si="208"/>
        <v>100210000</v>
      </c>
      <c r="C1256" t="s">
        <v>4418</v>
      </c>
      <c r="D1256">
        <v>5794</v>
      </c>
      <c r="E1256" t="str">
        <f>"100210108"</f>
        <v>100210108</v>
      </c>
      <c r="F1256" t="s">
        <v>4430</v>
      </c>
      <c r="G1256" t="s">
        <v>42</v>
      </c>
      <c r="H1256" t="s">
        <v>4419</v>
      </c>
      <c r="I1256" t="s">
        <v>4420</v>
      </c>
      <c r="J1256" t="s">
        <v>4421</v>
      </c>
      <c r="K1256" t="str">
        <f t="shared" si="209"/>
        <v>5206963715</v>
      </c>
      <c r="L1256" t="str">
        <f>""</f>
        <v/>
      </c>
      <c r="M1256" t="str">
        <f t="shared" si="210"/>
        <v>5206963798</v>
      </c>
      <c r="N1256" t="str">
        <f>""</f>
        <v/>
      </c>
      <c r="O1256" t="s">
        <v>4422</v>
      </c>
      <c r="P1256" t="s">
        <v>4431</v>
      </c>
      <c r="R1256" t="s">
        <v>4169</v>
      </c>
      <c r="S1256" t="s">
        <v>36</v>
      </c>
      <c r="T1256" t="str">
        <f>"85719"</f>
        <v>85719</v>
      </c>
      <c r="U1256" t="str">
        <f>""</f>
        <v/>
      </c>
      <c r="V1256" t="s">
        <v>4431</v>
      </c>
      <c r="X1256" t="s">
        <v>4169</v>
      </c>
      <c r="Y1256" t="s">
        <v>36</v>
      </c>
      <c r="Z1256" t="str">
        <f>"85719"</f>
        <v>85719</v>
      </c>
      <c r="AA1256" t="str">
        <f>""</f>
        <v/>
      </c>
      <c r="AB1256" t="s">
        <v>699</v>
      </c>
    </row>
    <row r="1257" spans="1:28" x14ac:dyDescent="0.25">
      <c r="A1257">
        <v>4406</v>
      </c>
      <c r="B1257" t="str">
        <f t="shared" si="208"/>
        <v>100210000</v>
      </c>
      <c r="C1257" t="s">
        <v>4418</v>
      </c>
      <c r="D1257">
        <v>5795</v>
      </c>
      <c r="E1257" t="str">
        <f>"100210109"</f>
        <v>100210109</v>
      </c>
      <c r="F1257" t="s">
        <v>4432</v>
      </c>
      <c r="G1257" t="s">
        <v>42</v>
      </c>
      <c r="H1257" t="s">
        <v>4419</v>
      </c>
      <c r="I1257" t="s">
        <v>4420</v>
      </c>
      <c r="J1257" t="s">
        <v>4421</v>
      </c>
      <c r="K1257" t="str">
        <f t="shared" si="209"/>
        <v>5206963715</v>
      </c>
      <c r="L1257" t="str">
        <f>""</f>
        <v/>
      </c>
      <c r="M1257" t="str">
        <f t="shared" si="210"/>
        <v>5206963798</v>
      </c>
      <c r="N1257" t="str">
        <f>""</f>
        <v/>
      </c>
      <c r="O1257" t="s">
        <v>4422</v>
      </c>
      <c r="P1257" t="s">
        <v>4433</v>
      </c>
      <c r="R1257" t="s">
        <v>4169</v>
      </c>
      <c r="S1257" t="s">
        <v>36</v>
      </c>
      <c r="T1257" t="str">
        <f>"85705"</f>
        <v>85705</v>
      </c>
      <c r="U1257" t="str">
        <f>""</f>
        <v/>
      </c>
      <c r="V1257" t="s">
        <v>4433</v>
      </c>
      <c r="X1257" t="s">
        <v>4169</v>
      </c>
      <c r="Y1257" t="s">
        <v>36</v>
      </c>
      <c r="Z1257" t="str">
        <f>"85705"</f>
        <v>85705</v>
      </c>
      <c r="AA1257" t="str">
        <f>""</f>
        <v/>
      </c>
      <c r="AB1257" t="s">
        <v>699</v>
      </c>
    </row>
    <row r="1258" spans="1:28" x14ac:dyDescent="0.25">
      <c r="A1258">
        <v>4406</v>
      </c>
      <c r="B1258" t="str">
        <f t="shared" si="208"/>
        <v>100210000</v>
      </c>
      <c r="C1258" t="s">
        <v>4418</v>
      </c>
      <c r="D1258">
        <v>5796</v>
      </c>
      <c r="E1258" t="str">
        <f>"100210110"</f>
        <v>100210110</v>
      </c>
      <c r="F1258" t="s">
        <v>4434</v>
      </c>
      <c r="G1258" t="s">
        <v>42</v>
      </c>
      <c r="H1258" t="s">
        <v>4419</v>
      </c>
      <c r="I1258" t="s">
        <v>4420</v>
      </c>
      <c r="J1258" t="s">
        <v>4421</v>
      </c>
      <c r="K1258" t="str">
        <f t="shared" si="209"/>
        <v>5206963715</v>
      </c>
      <c r="L1258" t="str">
        <f>""</f>
        <v/>
      </c>
      <c r="M1258" t="str">
        <f t="shared" si="210"/>
        <v>5206963798</v>
      </c>
      <c r="N1258" t="str">
        <f>""</f>
        <v/>
      </c>
      <c r="O1258" t="s">
        <v>4422</v>
      </c>
      <c r="P1258" t="s">
        <v>4435</v>
      </c>
      <c r="R1258" t="s">
        <v>4169</v>
      </c>
      <c r="S1258" t="s">
        <v>36</v>
      </c>
      <c r="T1258" t="str">
        <f>"85705"</f>
        <v>85705</v>
      </c>
      <c r="U1258" t="str">
        <f>""</f>
        <v/>
      </c>
      <c r="V1258" t="s">
        <v>4435</v>
      </c>
      <c r="X1258" t="s">
        <v>4169</v>
      </c>
      <c r="Y1258" t="s">
        <v>36</v>
      </c>
      <c r="Z1258" t="str">
        <f>"85705"</f>
        <v>85705</v>
      </c>
      <c r="AA1258" t="str">
        <f>""</f>
        <v/>
      </c>
      <c r="AB1258" t="s">
        <v>699</v>
      </c>
    </row>
    <row r="1259" spans="1:28" x14ac:dyDescent="0.25">
      <c r="A1259">
        <v>4406</v>
      </c>
      <c r="B1259" t="str">
        <f t="shared" si="208"/>
        <v>100210000</v>
      </c>
      <c r="C1259" t="s">
        <v>4418</v>
      </c>
      <c r="D1259">
        <v>5797</v>
      </c>
      <c r="E1259" t="str">
        <f>"100210111"</f>
        <v>100210111</v>
      </c>
      <c r="F1259" t="s">
        <v>4436</v>
      </c>
      <c r="G1259" t="s">
        <v>42</v>
      </c>
      <c r="H1259" t="s">
        <v>4419</v>
      </c>
      <c r="I1259" t="s">
        <v>4420</v>
      </c>
      <c r="J1259" t="s">
        <v>4421</v>
      </c>
      <c r="K1259" t="str">
        <f t="shared" si="209"/>
        <v>5206963715</v>
      </c>
      <c r="L1259" t="str">
        <f>""</f>
        <v/>
      </c>
      <c r="M1259" t="str">
        <f t="shared" si="210"/>
        <v>5206963798</v>
      </c>
      <c r="N1259" t="str">
        <f>""</f>
        <v/>
      </c>
      <c r="O1259" t="s">
        <v>4422</v>
      </c>
      <c r="P1259" t="s">
        <v>4437</v>
      </c>
      <c r="R1259" t="s">
        <v>4169</v>
      </c>
      <c r="S1259" t="s">
        <v>36</v>
      </c>
      <c r="T1259" t="str">
        <f>"85705"</f>
        <v>85705</v>
      </c>
      <c r="U1259" t="str">
        <f>""</f>
        <v/>
      </c>
      <c r="V1259" t="s">
        <v>4437</v>
      </c>
      <c r="X1259" t="s">
        <v>4169</v>
      </c>
      <c r="Y1259" t="s">
        <v>36</v>
      </c>
      <c r="Z1259" t="str">
        <f>"85705"</f>
        <v>85705</v>
      </c>
      <c r="AA1259" t="str">
        <f>""</f>
        <v/>
      </c>
      <c r="AB1259" t="s">
        <v>699</v>
      </c>
    </row>
    <row r="1260" spans="1:28" x14ac:dyDescent="0.25">
      <c r="A1260">
        <v>4406</v>
      </c>
      <c r="B1260" t="str">
        <f t="shared" si="208"/>
        <v>100210000</v>
      </c>
      <c r="C1260" t="s">
        <v>4418</v>
      </c>
      <c r="D1260">
        <v>5798</v>
      </c>
      <c r="E1260" t="str">
        <f>"100210112"</f>
        <v>100210112</v>
      </c>
      <c r="F1260" t="s">
        <v>4438</v>
      </c>
      <c r="G1260" t="s">
        <v>42</v>
      </c>
      <c r="H1260" t="s">
        <v>4419</v>
      </c>
      <c r="I1260" t="s">
        <v>4420</v>
      </c>
      <c r="J1260" t="s">
        <v>4421</v>
      </c>
      <c r="K1260" t="str">
        <f t="shared" si="209"/>
        <v>5206963715</v>
      </c>
      <c r="L1260" t="str">
        <f>""</f>
        <v/>
      </c>
      <c r="M1260" t="str">
        <f t="shared" si="210"/>
        <v>5206963798</v>
      </c>
      <c r="N1260" t="str">
        <f>""</f>
        <v/>
      </c>
      <c r="O1260" t="s">
        <v>4422</v>
      </c>
      <c r="P1260" t="s">
        <v>4439</v>
      </c>
      <c r="R1260" t="s">
        <v>4169</v>
      </c>
      <c r="S1260" t="s">
        <v>36</v>
      </c>
      <c r="T1260" t="str">
        <f>"85704"</f>
        <v>85704</v>
      </c>
      <c r="U1260" t="str">
        <f>""</f>
        <v/>
      </c>
      <c r="V1260" t="s">
        <v>4439</v>
      </c>
      <c r="X1260" t="s">
        <v>4169</v>
      </c>
      <c r="Y1260" t="s">
        <v>36</v>
      </c>
      <c r="Z1260" t="str">
        <f>"85704"</f>
        <v>85704</v>
      </c>
      <c r="AA1260" t="str">
        <f>""</f>
        <v/>
      </c>
      <c r="AB1260" t="s">
        <v>699</v>
      </c>
    </row>
    <row r="1261" spans="1:28" x14ac:dyDescent="0.25">
      <c r="A1261">
        <v>4406</v>
      </c>
      <c r="B1261" t="str">
        <f t="shared" si="208"/>
        <v>100210000</v>
      </c>
      <c r="C1261" t="s">
        <v>4418</v>
      </c>
      <c r="D1261">
        <v>5799</v>
      </c>
      <c r="E1261" t="str">
        <f>"100210115"</f>
        <v>100210115</v>
      </c>
      <c r="F1261" t="s">
        <v>4440</v>
      </c>
      <c r="G1261" t="s">
        <v>42</v>
      </c>
      <c r="H1261" t="s">
        <v>4419</v>
      </c>
      <c r="I1261" t="s">
        <v>4420</v>
      </c>
      <c r="J1261" t="s">
        <v>4421</v>
      </c>
      <c r="K1261" t="str">
        <f t="shared" si="209"/>
        <v>5206963715</v>
      </c>
      <c r="L1261" t="str">
        <f>""</f>
        <v/>
      </c>
      <c r="M1261" t="str">
        <f t="shared" si="210"/>
        <v>5206963798</v>
      </c>
      <c r="N1261" t="str">
        <f>""</f>
        <v/>
      </c>
      <c r="O1261" t="s">
        <v>4422</v>
      </c>
      <c r="P1261" t="s">
        <v>4441</v>
      </c>
      <c r="R1261" t="s">
        <v>4169</v>
      </c>
      <c r="S1261" t="s">
        <v>36</v>
      </c>
      <c r="T1261" t="str">
        <f>"85739"</f>
        <v>85739</v>
      </c>
      <c r="U1261" t="str">
        <f>""</f>
        <v/>
      </c>
      <c r="V1261" t="s">
        <v>4441</v>
      </c>
      <c r="X1261" t="s">
        <v>4169</v>
      </c>
      <c r="Y1261" t="s">
        <v>36</v>
      </c>
      <c r="Z1261" t="str">
        <f>"85739"</f>
        <v>85739</v>
      </c>
      <c r="AA1261" t="str">
        <f>""</f>
        <v/>
      </c>
      <c r="AB1261" t="s">
        <v>699</v>
      </c>
    </row>
    <row r="1262" spans="1:28" x14ac:dyDescent="0.25">
      <c r="A1262">
        <v>4406</v>
      </c>
      <c r="B1262" t="str">
        <f t="shared" si="208"/>
        <v>100210000</v>
      </c>
      <c r="C1262" t="s">
        <v>4418</v>
      </c>
      <c r="D1262">
        <v>5800</v>
      </c>
      <c r="E1262" t="str">
        <f>"100210116"</f>
        <v>100210116</v>
      </c>
      <c r="F1262" t="s">
        <v>4442</v>
      </c>
      <c r="G1262" t="s">
        <v>42</v>
      </c>
      <c r="H1262" t="s">
        <v>4419</v>
      </c>
      <c r="I1262" t="s">
        <v>4420</v>
      </c>
      <c r="J1262" t="s">
        <v>4421</v>
      </c>
      <c r="K1262" t="str">
        <f t="shared" si="209"/>
        <v>5206963715</v>
      </c>
      <c r="L1262" t="str">
        <f>""</f>
        <v/>
      </c>
      <c r="M1262" t="str">
        <f t="shared" si="210"/>
        <v>5206963798</v>
      </c>
      <c r="N1262" t="str">
        <f>""</f>
        <v/>
      </c>
      <c r="O1262" t="s">
        <v>4422</v>
      </c>
      <c r="P1262" t="s">
        <v>4443</v>
      </c>
      <c r="R1262" t="s">
        <v>4169</v>
      </c>
      <c r="S1262" t="s">
        <v>36</v>
      </c>
      <c r="T1262" t="str">
        <f>"85704"</f>
        <v>85704</v>
      </c>
      <c r="U1262" t="str">
        <f>""</f>
        <v/>
      </c>
      <c r="V1262" t="s">
        <v>4443</v>
      </c>
      <c r="X1262" t="s">
        <v>4169</v>
      </c>
      <c r="Y1262" t="s">
        <v>36</v>
      </c>
      <c r="Z1262" t="str">
        <f>"85704"</f>
        <v>85704</v>
      </c>
      <c r="AA1262" t="str">
        <f>""</f>
        <v/>
      </c>
      <c r="AB1262" t="s">
        <v>699</v>
      </c>
    </row>
    <row r="1263" spans="1:28" x14ac:dyDescent="0.25">
      <c r="A1263">
        <v>4406</v>
      </c>
      <c r="B1263" t="str">
        <f t="shared" si="208"/>
        <v>100210000</v>
      </c>
      <c r="C1263" t="s">
        <v>4418</v>
      </c>
      <c r="D1263">
        <v>5801</v>
      </c>
      <c r="E1263" t="str">
        <f>"100210117"</f>
        <v>100210117</v>
      </c>
      <c r="F1263" t="s">
        <v>4444</v>
      </c>
      <c r="G1263" t="s">
        <v>42</v>
      </c>
      <c r="H1263" t="s">
        <v>4419</v>
      </c>
      <c r="I1263" t="s">
        <v>4420</v>
      </c>
      <c r="J1263" t="s">
        <v>4421</v>
      </c>
      <c r="K1263" t="str">
        <f t="shared" si="209"/>
        <v>5206963715</v>
      </c>
      <c r="L1263" t="str">
        <f>""</f>
        <v/>
      </c>
      <c r="M1263" t="str">
        <f t="shared" si="210"/>
        <v>5206963798</v>
      </c>
      <c r="N1263" t="str">
        <f>""</f>
        <v/>
      </c>
      <c r="O1263" t="s">
        <v>4422</v>
      </c>
      <c r="P1263" t="s">
        <v>4445</v>
      </c>
      <c r="R1263" t="s">
        <v>4169</v>
      </c>
      <c r="S1263" t="s">
        <v>36</v>
      </c>
      <c r="T1263" t="str">
        <f>"85719"</f>
        <v>85719</v>
      </c>
      <c r="U1263" t="str">
        <f>""</f>
        <v/>
      </c>
      <c r="V1263" t="s">
        <v>4445</v>
      </c>
      <c r="X1263" t="s">
        <v>4169</v>
      </c>
      <c r="Y1263" t="s">
        <v>36</v>
      </c>
      <c r="Z1263" t="str">
        <f>"85719"</f>
        <v>85719</v>
      </c>
      <c r="AA1263" t="str">
        <f>""</f>
        <v/>
      </c>
      <c r="AB1263" t="s">
        <v>699</v>
      </c>
    </row>
    <row r="1264" spans="1:28" x14ac:dyDescent="0.25">
      <c r="A1264">
        <v>4406</v>
      </c>
      <c r="B1264" t="str">
        <f t="shared" si="208"/>
        <v>100210000</v>
      </c>
      <c r="C1264" t="s">
        <v>4418</v>
      </c>
      <c r="D1264">
        <v>5802</v>
      </c>
      <c r="E1264" t="str">
        <f>"100210118"</f>
        <v>100210118</v>
      </c>
      <c r="F1264" t="s">
        <v>2064</v>
      </c>
      <c r="G1264" t="s">
        <v>42</v>
      </c>
      <c r="H1264" t="s">
        <v>4419</v>
      </c>
      <c r="I1264" t="s">
        <v>4420</v>
      </c>
      <c r="J1264" t="s">
        <v>4421</v>
      </c>
      <c r="K1264" t="str">
        <f t="shared" si="209"/>
        <v>5206963715</v>
      </c>
      <c r="L1264" t="str">
        <f>""</f>
        <v/>
      </c>
      <c r="M1264" t="str">
        <f t="shared" si="210"/>
        <v>5206963798</v>
      </c>
      <c r="N1264" t="str">
        <f>""</f>
        <v/>
      </c>
      <c r="O1264" t="s">
        <v>4422</v>
      </c>
      <c r="P1264" t="s">
        <v>4446</v>
      </c>
      <c r="R1264" t="s">
        <v>4169</v>
      </c>
      <c r="S1264" t="s">
        <v>36</v>
      </c>
      <c r="T1264" t="str">
        <f>"85737"</f>
        <v>85737</v>
      </c>
      <c r="U1264" t="str">
        <f>""</f>
        <v/>
      </c>
      <c r="V1264" t="s">
        <v>4446</v>
      </c>
      <c r="X1264" t="s">
        <v>4169</v>
      </c>
      <c r="Y1264" t="s">
        <v>36</v>
      </c>
      <c r="Z1264" t="str">
        <f>"85737"</f>
        <v>85737</v>
      </c>
      <c r="AA1264" t="str">
        <f>""</f>
        <v/>
      </c>
      <c r="AB1264" t="s">
        <v>699</v>
      </c>
    </row>
    <row r="1265" spans="1:28" x14ac:dyDescent="0.25">
      <c r="A1265">
        <v>4406</v>
      </c>
      <c r="B1265" t="str">
        <f t="shared" si="208"/>
        <v>100210000</v>
      </c>
      <c r="C1265" t="s">
        <v>4418</v>
      </c>
      <c r="D1265">
        <v>5803</v>
      </c>
      <c r="E1265" t="str">
        <f>"100210125"</f>
        <v>100210125</v>
      </c>
      <c r="F1265" t="s">
        <v>4447</v>
      </c>
      <c r="G1265" t="s">
        <v>42</v>
      </c>
      <c r="H1265" t="s">
        <v>4419</v>
      </c>
      <c r="I1265" t="s">
        <v>4420</v>
      </c>
      <c r="J1265" t="s">
        <v>4421</v>
      </c>
      <c r="K1265" t="str">
        <f t="shared" si="209"/>
        <v>5206963715</v>
      </c>
      <c r="L1265" t="str">
        <f>""</f>
        <v/>
      </c>
      <c r="M1265" t="str">
        <f t="shared" si="210"/>
        <v>5206963798</v>
      </c>
      <c r="N1265" t="str">
        <f>""</f>
        <v/>
      </c>
      <c r="O1265" t="s">
        <v>4422</v>
      </c>
      <c r="P1265" t="s">
        <v>4448</v>
      </c>
      <c r="R1265" t="s">
        <v>4169</v>
      </c>
      <c r="S1265" t="s">
        <v>36</v>
      </c>
      <c r="T1265" t="str">
        <f>"85705"</f>
        <v>85705</v>
      </c>
      <c r="U1265" t="str">
        <f>""</f>
        <v/>
      </c>
      <c r="V1265" t="s">
        <v>4448</v>
      </c>
      <c r="X1265" t="s">
        <v>4169</v>
      </c>
      <c r="Y1265" t="s">
        <v>36</v>
      </c>
      <c r="Z1265" t="str">
        <f>"85705"</f>
        <v>85705</v>
      </c>
      <c r="AA1265" t="str">
        <f>""</f>
        <v/>
      </c>
      <c r="AB1265" t="s">
        <v>699</v>
      </c>
    </row>
    <row r="1266" spans="1:28" x14ac:dyDescent="0.25">
      <c r="A1266">
        <v>4406</v>
      </c>
      <c r="B1266" t="str">
        <f t="shared" si="208"/>
        <v>100210000</v>
      </c>
      <c r="C1266" t="s">
        <v>4418</v>
      </c>
      <c r="D1266">
        <v>5804</v>
      </c>
      <c r="E1266" t="str">
        <f>"100210165"</f>
        <v>100210165</v>
      </c>
      <c r="F1266" t="s">
        <v>4449</v>
      </c>
      <c r="G1266" t="s">
        <v>42</v>
      </c>
      <c r="H1266" t="s">
        <v>4419</v>
      </c>
      <c r="I1266" t="s">
        <v>4420</v>
      </c>
      <c r="J1266" t="s">
        <v>4421</v>
      </c>
      <c r="K1266" t="str">
        <f t="shared" si="209"/>
        <v>5206963715</v>
      </c>
      <c r="L1266" t="str">
        <f>""</f>
        <v/>
      </c>
      <c r="M1266" t="str">
        <f t="shared" si="210"/>
        <v>5206963798</v>
      </c>
      <c r="N1266" t="str">
        <f>""</f>
        <v/>
      </c>
      <c r="O1266" t="s">
        <v>4422</v>
      </c>
      <c r="P1266" t="s">
        <v>4450</v>
      </c>
      <c r="R1266" t="s">
        <v>4169</v>
      </c>
      <c r="S1266" t="s">
        <v>36</v>
      </c>
      <c r="T1266" t="str">
        <f>"85704"</f>
        <v>85704</v>
      </c>
      <c r="U1266" t="str">
        <f>""</f>
        <v/>
      </c>
      <c r="V1266" t="s">
        <v>4450</v>
      </c>
      <c r="X1266" t="s">
        <v>4169</v>
      </c>
      <c r="Y1266" t="s">
        <v>36</v>
      </c>
      <c r="Z1266" t="str">
        <f>"85704"</f>
        <v>85704</v>
      </c>
      <c r="AA1266" t="str">
        <f>""</f>
        <v/>
      </c>
      <c r="AB1266" t="s">
        <v>699</v>
      </c>
    </row>
    <row r="1267" spans="1:28" x14ac:dyDescent="0.25">
      <c r="A1267">
        <v>4406</v>
      </c>
      <c r="B1267" t="str">
        <f t="shared" si="208"/>
        <v>100210000</v>
      </c>
      <c r="C1267" t="s">
        <v>4418</v>
      </c>
      <c r="D1267">
        <v>5805</v>
      </c>
      <c r="E1267" t="str">
        <f>"100210166"</f>
        <v>100210166</v>
      </c>
      <c r="F1267" t="s">
        <v>4451</v>
      </c>
      <c r="G1267" t="s">
        <v>42</v>
      </c>
      <c r="H1267" t="s">
        <v>4419</v>
      </c>
      <c r="I1267" t="s">
        <v>4420</v>
      </c>
      <c r="J1267" t="s">
        <v>4421</v>
      </c>
      <c r="K1267" t="str">
        <f t="shared" si="209"/>
        <v>5206963715</v>
      </c>
      <c r="L1267" t="str">
        <f>""</f>
        <v/>
      </c>
      <c r="M1267" t="str">
        <f t="shared" si="210"/>
        <v>5206963798</v>
      </c>
      <c r="N1267" t="str">
        <f>""</f>
        <v/>
      </c>
      <c r="O1267" t="s">
        <v>4422</v>
      </c>
      <c r="P1267" t="s">
        <v>4452</v>
      </c>
      <c r="R1267" t="s">
        <v>4169</v>
      </c>
      <c r="S1267" t="s">
        <v>36</v>
      </c>
      <c r="T1267" t="str">
        <f>"85705"</f>
        <v>85705</v>
      </c>
      <c r="U1267" t="str">
        <f>""</f>
        <v/>
      </c>
      <c r="V1267" t="s">
        <v>4452</v>
      </c>
      <c r="X1267" t="s">
        <v>4169</v>
      </c>
      <c r="Y1267" t="s">
        <v>36</v>
      </c>
      <c r="Z1267" t="str">
        <f>"85705"</f>
        <v>85705</v>
      </c>
      <c r="AA1267" t="str">
        <f>""</f>
        <v/>
      </c>
      <c r="AB1267" t="s">
        <v>699</v>
      </c>
    </row>
    <row r="1268" spans="1:28" x14ac:dyDescent="0.25">
      <c r="A1268">
        <v>4406</v>
      </c>
      <c r="B1268" t="str">
        <f t="shared" si="208"/>
        <v>100210000</v>
      </c>
      <c r="C1268" t="s">
        <v>4418</v>
      </c>
      <c r="D1268">
        <v>5806</v>
      </c>
      <c r="E1268" t="str">
        <f>"100210167"</f>
        <v>100210167</v>
      </c>
      <c r="F1268" t="s">
        <v>4453</v>
      </c>
      <c r="G1268" t="s">
        <v>42</v>
      </c>
      <c r="H1268" t="s">
        <v>4419</v>
      </c>
      <c r="I1268" t="s">
        <v>4420</v>
      </c>
      <c r="J1268" t="s">
        <v>4421</v>
      </c>
      <c r="K1268" t="str">
        <f t="shared" si="209"/>
        <v>5206963715</v>
      </c>
      <c r="L1268" t="str">
        <f>""</f>
        <v/>
      </c>
      <c r="M1268" t="str">
        <f t="shared" si="210"/>
        <v>5206963798</v>
      </c>
      <c r="N1268" t="str">
        <f>""</f>
        <v/>
      </c>
      <c r="O1268" t="s">
        <v>4422</v>
      </c>
      <c r="P1268" t="s">
        <v>4454</v>
      </c>
      <c r="R1268" t="s">
        <v>4169</v>
      </c>
      <c r="S1268" t="s">
        <v>36</v>
      </c>
      <c r="T1268" t="str">
        <f>"85704"</f>
        <v>85704</v>
      </c>
      <c r="U1268" t="str">
        <f>""</f>
        <v/>
      </c>
      <c r="V1268" t="s">
        <v>4454</v>
      </c>
      <c r="X1268" t="s">
        <v>4169</v>
      </c>
      <c r="Y1268" t="s">
        <v>36</v>
      </c>
      <c r="Z1268" t="str">
        <f>"85704"</f>
        <v>85704</v>
      </c>
      <c r="AA1268" t="str">
        <f>""</f>
        <v/>
      </c>
      <c r="AB1268" t="s">
        <v>699</v>
      </c>
    </row>
    <row r="1269" spans="1:28" x14ac:dyDescent="0.25">
      <c r="A1269">
        <v>4406</v>
      </c>
      <c r="B1269" t="str">
        <f t="shared" si="208"/>
        <v>100210000</v>
      </c>
      <c r="C1269" t="s">
        <v>4418</v>
      </c>
      <c r="D1269">
        <v>5807</v>
      </c>
      <c r="E1269" t="str">
        <f>"100210168"</f>
        <v>100210168</v>
      </c>
      <c r="F1269" t="s">
        <v>4455</v>
      </c>
      <c r="G1269" t="s">
        <v>42</v>
      </c>
      <c r="H1269" t="s">
        <v>4419</v>
      </c>
      <c r="I1269" t="s">
        <v>4420</v>
      </c>
      <c r="J1269" t="s">
        <v>4421</v>
      </c>
      <c r="K1269" t="str">
        <f t="shared" si="209"/>
        <v>5206963715</v>
      </c>
      <c r="L1269" t="str">
        <f>""</f>
        <v/>
      </c>
      <c r="M1269" t="str">
        <f t="shared" si="210"/>
        <v>5206963798</v>
      </c>
      <c r="N1269" t="str">
        <f>""</f>
        <v/>
      </c>
      <c r="O1269" t="s">
        <v>4422</v>
      </c>
      <c r="P1269" t="s">
        <v>4456</v>
      </c>
      <c r="R1269" t="s">
        <v>4169</v>
      </c>
      <c r="S1269" t="s">
        <v>36</v>
      </c>
      <c r="T1269" t="str">
        <f>"85742"</f>
        <v>85742</v>
      </c>
      <c r="U1269" t="str">
        <f>""</f>
        <v/>
      </c>
      <c r="V1269" t="s">
        <v>4456</v>
      </c>
      <c r="X1269" t="s">
        <v>4169</v>
      </c>
      <c r="Y1269" t="s">
        <v>36</v>
      </c>
      <c r="Z1269" t="str">
        <f>"85742"</f>
        <v>85742</v>
      </c>
      <c r="AA1269" t="str">
        <f>""</f>
        <v/>
      </c>
      <c r="AB1269" t="s">
        <v>699</v>
      </c>
    </row>
    <row r="1270" spans="1:28" x14ac:dyDescent="0.25">
      <c r="A1270">
        <v>4406</v>
      </c>
      <c r="B1270" t="str">
        <f t="shared" si="208"/>
        <v>100210000</v>
      </c>
      <c r="C1270" t="s">
        <v>4418</v>
      </c>
      <c r="D1270">
        <v>5808</v>
      </c>
      <c r="E1270" t="str">
        <f>"100210282"</f>
        <v>100210282</v>
      </c>
      <c r="F1270" t="s">
        <v>4457</v>
      </c>
      <c r="G1270" t="s">
        <v>42</v>
      </c>
      <c r="H1270" t="s">
        <v>4419</v>
      </c>
      <c r="I1270" t="s">
        <v>4420</v>
      </c>
      <c r="J1270" t="s">
        <v>4421</v>
      </c>
      <c r="K1270" t="str">
        <f t="shared" si="209"/>
        <v>5206963715</v>
      </c>
      <c r="L1270" t="str">
        <f>""</f>
        <v/>
      </c>
      <c r="M1270" t="str">
        <f t="shared" si="210"/>
        <v>5206963798</v>
      </c>
      <c r="N1270" t="str">
        <f>""</f>
        <v/>
      </c>
      <c r="O1270" t="s">
        <v>4422</v>
      </c>
      <c r="P1270" t="s">
        <v>4458</v>
      </c>
      <c r="R1270" t="s">
        <v>4169</v>
      </c>
      <c r="S1270" t="s">
        <v>36</v>
      </c>
      <c r="T1270" t="str">
        <f>"85737"</f>
        <v>85737</v>
      </c>
      <c r="U1270" t="str">
        <f>""</f>
        <v/>
      </c>
      <c r="V1270" t="s">
        <v>4458</v>
      </c>
      <c r="X1270" t="s">
        <v>4169</v>
      </c>
      <c r="Y1270" t="s">
        <v>36</v>
      </c>
      <c r="Z1270" t="str">
        <f>"85737"</f>
        <v>85737</v>
      </c>
      <c r="AA1270" t="str">
        <f>""</f>
        <v/>
      </c>
      <c r="AB1270" t="s">
        <v>699</v>
      </c>
    </row>
    <row r="1271" spans="1:28" x14ac:dyDescent="0.25">
      <c r="A1271">
        <v>4406</v>
      </c>
      <c r="B1271" t="str">
        <f t="shared" si="208"/>
        <v>100210000</v>
      </c>
      <c r="C1271" t="s">
        <v>4418</v>
      </c>
      <c r="D1271">
        <v>6055</v>
      </c>
      <c r="E1271" t="str">
        <f>"100210281"</f>
        <v>100210281</v>
      </c>
      <c r="F1271" t="s">
        <v>4459</v>
      </c>
      <c r="G1271" t="s">
        <v>42</v>
      </c>
      <c r="H1271" t="s">
        <v>4419</v>
      </c>
      <c r="I1271" t="s">
        <v>4420</v>
      </c>
      <c r="J1271" t="s">
        <v>4421</v>
      </c>
      <c r="K1271" t="str">
        <f t="shared" si="209"/>
        <v>5206963715</v>
      </c>
      <c r="L1271" t="str">
        <f>""</f>
        <v/>
      </c>
      <c r="M1271" t="str">
        <f t="shared" si="210"/>
        <v>5206963798</v>
      </c>
      <c r="N1271" t="str">
        <f>""</f>
        <v/>
      </c>
      <c r="O1271" t="s">
        <v>4422</v>
      </c>
      <c r="P1271" t="s">
        <v>4460</v>
      </c>
      <c r="R1271" t="s">
        <v>4169</v>
      </c>
      <c r="S1271" t="s">
        <v>36</v>
      </c>
      <c r="T1271" t="str">
        <f>"85705"</f>
        <v>85705</v>
      </c>
      <c r="U1271" t="str">
        <f>""</f>
        <v/>
      </c>
      <c r="V1271" t="s">
        <v>4460</v>
      </c>
      <c r="X1271" t="s">
        <v>4169</v>
      </c>
      <c r="Y1271" t="s">
        <v>36</v>
      </c>
      <c r="Z1271" t="str">
        <f>"85705"</f>
        <v>85705</v>
      </c>
      <c r="AA1271" t="str">
        <f>""</f>
        <v/>
      </c>
      <c r="AB1271" t="s">
        <v>699</v>
      </c>
    </row>
    <row r="1272" spans="1:28" x14ac:dyDescent="0.25">
      <c r="A1272">
        <v>4406</v>
      </c>
      <c r="B1272" t="str">
        <f t="shared" si="208"/>
        <v>100210000</v>
      </c>
      <c r="C1272" t="s">
        <v>4418</v>
      </c>
      <c r="D1272">
        <v>12976</v>
      </c>
      <c r="E1272" t="str">
        <f>"100210119"</f>
        <v>100210119</v>
      </c>
      <c r="F1272" t="s">
        <v>4461</v>
      </c>
      <c r="G1272" t="s">
        <v>42</v>
      </c>
      <c r="H1272" t="s">
        <v>4419</v>
      </c>
      <c r="I1272" t="s">
        <v>4420</v>
      </c>
      <c r="J1272" t="s">
        <v>4421</v>
      </c>
      <c r="K1272" t="str">
        <f t="shared" si="209"/>
        <v>5206963715</v>
      </c>
      <c r="L1272" t="str">
        <f>""</f>
        <v/>
      </c>
      <c r="M1272" t="str">
        <f t="shared" si="210"/>
        <v>5206963798</v>
      </c>
      <c r="N1272" t="str">
        <f>""</f>
        <v/>
      </c>
      <c r="O1272" t="s">
        <v>4422</v>
      </c>
      <c r="P1272" t="s">
        <v>4462</v>
      </c>
      <c r="R1272" t="s">
        <v>4169</v>
      </c>
      <c r="S1272" t="s">
        <v>36</v>
      </c>
      <c r="T1272" t="str">
        <f>"85755"</f>
        <v>85755</v>
      </c>
      <c r="U1272" t="str">
        <f>""</f>
        <v/>
      </c>
      <c r="V1272" t="s">
        <v>4462</v>
      </c>
      <c r="X1272" t="s">
        <v>4169</v>
      </c>
      <c r="Y1272" t="s">
        <v>36</v>
      </c>
      <c r="Z1272" t="str">
        <f>"85755"</f>
        <v>85755</v>
      </c>
      <c r="AA1272" t="str">
        <f>""</f>
        <v/>
      </c>
      <c r="AB1272" t="s">
        <v>699</v>
      </c>
    </row>
    <row r="1273" spans="1:28" x14ac:dyDescent="0.25">
      <c r="A1273">
        <v>4406</v>
      </c>
      <c r="B1273" t="str">
        <f t="shared" si="208"/>
        <v>100210000</v>
      </c>
      <c r="C1273" t="s">
        <v>4418</v>
      </c>
      <c r="D1273">
        <v>79282</v>
      </c>
      <c r="E1273" t="str">
        <f>"100210114"</f>
        <v>100210114</v>
      </c>
      <c r="F1273" t="s">
        <v>4463</v>
      </c>
      <c r="G1273" t="s">
        <v>42</v>
      </c>
      <c r="H1273" t="s">
        <v>4419</v>
      </c>
      <c r="I1273" t="s">
        <v>4420</v>
      </c>
      <c r="J1273" t="s">
        <v>4464</v>
      </c>
      <c r="K1273" t="str">
        <f t="shared" si="209"/>
        <v>5206963715</v>
      </c>
      <c r="L1273" t="str">
        <f>""</f>
        <v/>
      </c>
      <c r="M1273" t="str">
        <f t="shared" si="210"/>
        <v>5206963798</v>
      </c>
      <c r="N1273" t="str">
        <f>""</f>
        <v/>
      </c>
      <c r="O1273" t="s">
        <v>4422</v>
      </c>
      <c r="P1273" t="s">
        <v>4465</v>
      </c>
      <c r="R1273" t="s">
        <v>4169</v>
      </c>
      <c r="S1273" t="s">
        <v>36</v>
      </c>
      <c r="T1273" t="str">
        <f>"85737"</f>
        <v>85737</v>
      </c>
      <c r="U1273" t="str">
        <f>""</f>
        <v/>
      </c>
      <c r="V1273" t="s">
        <v>4465</v>
      </c>
      <c r="X1273" t="s">
        <v>4169</v>
      </c>
      <c r="Y1273" t="s">
        <v>36</v>
      </c>
      <c r="Z1273" t="str">
        <f>"85737"</f>
        <v>85737</v>
      </c>
      <c r="AA1273" t="str">
        <f>""</f>
        <v/>
      </c>
      <c r="AB1273" t="s">
        <v>699</v>
      </c>
    </row>
    <row r="1274" spans="1:28" x14ac:dyDescent="0.25">
      <c r="A1274">
        <v>4406</v>
      </c>
      <c r="B1274" t="str">
        <f t="shared" si="208"/>
        <v>100210000</v>
      </c>
      <c r="C1274" t="s">
        <v>4418</v>
      </c>
      <c r="D1274">
        <v>79378</v>
      </c>
      <c r="E1274" t="str">
        <f>"100210280"</f>
        <v>100210280</v>
      </c>
      <c r="F1274" t="s">
        <v>4466</v>
      </c>
      <c r="G1274" t="s">
        <v>42</v>
      </c>
      <c r="H1274" t="s">
        <v>4419</v>
      </c>
      <c r="I1274" t="s">
        <v>4420</v>
      </c>
      <c r="J1274" t="s">
        <v>4421</v>
      </c>
      <c r="K1274" t="str">
        <f t="shared" si="209"/>
        <v>5206963715</v>
      </c>
      <c r="L1274" t="str">
        <f>""</f>
        <v/>
      </c>
      <c r="M1274" t="str">
        <f t="shared" si="210"/>
        <v>5206963798</v>
      </c>
      <c r="N1274" t="str">
        <f>""</f>
        <v/>
      </c>
      <c r="O1274" t="s">
        <v>4422</v>
      </c>
      <c r="P1274" t="s">
        <v>4467</v>
      </c>
      <c r="R1274" t="s">
        <v>4169</v>
      </c>
      <c r="S1274" t="s">
        <v>36</v>
      </c>
      <c r="T1274" t="str">
        <f>"85742"</f>
        <v>85742</v>
      </c>
      <c r="U1274" t="str">
        <f>""</f>
        <v/>
      </c>
      <c r="V1274" t="s">
        <v>4467</v>
      </c>
      <c r="X1274" t="s">
        <v>4169</v>
      </c>
      <c r="Y1274" t="s">
        <v>36</v>
      </c>
      <c r="Z1274" t="str">
        <f>"85742"</f>
        <v>85742</v>
      </c>
      <c r="AA1274" t="str">
        <f>""</f>
        <v/>
      </c>
      <c r="AB1274" t="s">
        <v>699</v>
      </c>
    </row>
    <row r="1275" spans="1:28" x14ac:dyDescent="0.25">
      <c r="A1275">
        <v>4406</v>
      </c>
      <c r="B1275" t="str">
        <f t="shared" si="208"/>
        <v>100210000</v>
      </c>
      <c r="C1275" t="s">
        <v>4418</v>
      </c>
      <c r="D1275">
        <v>91756</v>
      </c>
      <c r="E1275" t="str">
        <f>"100210185"</f>
        <v>100210185</v>
      </c>
      <c r="F1275" t="s">
        <v>4468</v>
      </c>
      <c r="G1275" t="s">
        <v>42</v>
      </c>
      <c r="H1275" t="s">
        <v>4419</v>
      </c>
      <c r="I1275" t="s">
        <v>4420</v>
      </c>
      <c r="J1275" t="s">
        <v>4421</v>
      </c>
      <c r="K1275" t="str">
        <f t="shared" si="209"/>
        <v>5206963715</v>
      </c>
      <c r="L1275" t="str">
        <f>""</f>
        <v/>
      </c>
      <c r="M1275" t="str">
        <f t="shared" si="210"/>
        <v>5206963798</v>
      </c>
      <c r="N1275" t="str">
        <f>""</f>
        <v/>
      </c>
      <c r="O1275" t="s">
        <v>4422</v>
      </c>
      <c r="P1275" t="s">
        <v>4427</v>
      </c>
      <c r="R1275" t="s">
        <v>4169</v>
      </c>
      <c r="S1275" t="s">
        <v>36</v>
      </c>
      <c r="T1275" t="str">
        <f>"85704"</f>
        <v>85704</v>
      </c>
      <c r="U1275" t="str">
        <f>""</f>
        <v/>
      </c>
      <c r="V1275" t="s">
        <v>4427</v>
      </c>
      <c r="X1275" t="s">
        <v>4169</v>
      </c>
      <c r="Y1275" t="s">
        <v>36</v>
      </c>
      <c r="Z1275" t="str">
        <f>"85704"</f>
        <v>85704</v>
      </c>
      <c r="AA1275" t="str">
        <f>""</f>
        <v/>
      </c>
      <c r="AB1275" t="s">
        <v>699</v>
      </c>
    </row>
    <row r="1276" spans="1:28" x14ac:dyDescent="0.25">
      <c r="A1276">
        <v>4407</v>
      </c>
      <c r="B1276" t="str">
        <f t="shared" ref="B1276:B1297" si="211">"100212000"</f>
        <v>100212000</v>
      </c>
      <c r="C1276" t="s">
        <v>4469</v>
      </c>
      <c r="D1276">
        <v>0</v>
      </c>
      <c r="E1276" t="str">
        <f>""</f>
        <v/>
      </c>
      <c r="G1276" t="s">
        <v>29</v>
      </c>
      <c r="H1276" t="s">
        <v>4470</v>
      </c>
      <c r="I1276" t="s">
        <v>4471</v>
      </c>
      <c r="J1276" t="s">
        <v>3361</v>
      </c>
      <c r="K1276" t="str">
        <f t="shared" ref="K1276:K1297" si="212">"5205452220"</f>
        <v>5205452220</v>
      </c>
      <c r="L1276" t="str">
        <f>""</f>
        <v/>
      </c>
      <c r="M1276" t="str">
        <f t="shared" ref="M1276:M1297" si="213">"5205452143"</f>
        <v>5205452143</v>
      </c>
      <c r="N1276" t="str">
        <f>""</f>
        <v/>
      </c>
      <c r="O1276" t="s">
        <v>4472</v>
      </c>
      <c r="P1276" t="s">
        <v>4473</v>
      </c>
      <c r="Q1276" t="s">
        <v>4474</v>
      </c>
      <c r="R1276" t="s">
        <v>4169</v>
      </c>
      <c r="S1276" t="s">
        <v>36</v>
      </c>
      <c r="T1276" t="str">
        <f t="shared" ref="T1276:T1297" si="214">"85706"</f>
        <v>85706</v>
      </c>
      <c r="U1276" t="str">
        <f>""</f>
        <v/>
      </c>
      <c r="V1276" t="s">
        <v>4473</v>
      </c>
      <c r="W1276" t="s">
        <v>4474</v>
      </c>
      <c r="X1276" t="s">
        <v>4169</v>
      </c>
      <c r="Y1276" t="s">
        <v>36</v>
      </c>
      <c r="Z1276" t="str">
        <f t="shared" ref="Z1276:Z1297" si="215">"85706"</f>
        <v>85706</v>
      </c>
      <c r="AA1276" t="str">
        <f>""</f>
        <v/>
      </c>
      <c r="AB1276" t="s">
        <v>217</v>
      </c>
    </row>
    <row r="1277" spans="1:28" x14ac:dyDescent="0.25">
      <c r="A1277">
        <v>4407</v>
      </c>
      <c r="B1277" t="str">
        <f t="shared" si="211"/>
        <v>100212000</v>
      </c>
      <c r="C1277" t="s">
        <v>4469</v>
      </c>
      <c r="D1277">
        <v>5809</v>
      </c>
      <c r="E1277" t="str">
        <f>"100212106"</f>
        <v>100212106</v>
      </c>
      <c r="F1277" t="s">
        <v>4475</v>
      </c>
      <c r="G1277" t="s">
        <v>42</v>
      </c>
      <c r="H1277" t="s">
        <v>4470</v>
      </c>
      <c r="I1277" t="s">
        <v>4471</v>
      </c>
      <c r="J1277" t="s">
        <v>4476</v>
      </c>
      <c r="K1277" t="str">
        <f t="shared" si="212"/>
        <v>5205452220</v>
      </c>
      <c r="L1277" t="str">
        <f>""</f>
        <v/>
      </c>
      <c r="M1277" t="str">
        <f t="shared" si="213"/>
        <v>5205452143</v>
      </c>
      <c r="N1277" t="str">
        <f>""</f>
        <v/>
      </c>
      <c r="O1277" t="s">
        <v>4472</v>
      </c>
      <c r="P1277" t="s">
        <v>4477</v>
      </c>
      <c r="Q1277" t="s">
        <v>4478</v>
      </c>
      <c r="R1277" t="s">
        <v>4169</v>
      </c>
      <c r="S1277" t="s">
        <v>36</v>
      </c>
      <c r="T1277" t="str">
        <f t="shared" si="214"/>
        <v>85706</v>
      </c>
      <c r="U1277" t="str">
        <f>""</f>
        <v/>
      </c>
      <c r="V1277" t="s">
        <v>4479</v>
      </c>
      <c r="X1277" t="s">
        <v>4169</v>
      </c>
      <c r="Y1277" t="s">
        <v>36</v>
      </c>
      <c r="Z1277" t="str">
        <f t="shared" si="215"/>
        <v>85706</v>
      </c>
      <c r="AA1277" t="str">
        <f>""</f>
        <v/>
      </c>
      <c r="AB1277" t="s">
        <v>217</v>
      </c>
    </row>
    <row r="1278" spans="1:28" x14ac:dyDescent="0.25">
      <c r="A1278">
        <v>4407</v>
      </c>
      <c r="B1278" t="str">
        <f t="shared" si="211"/>
        <v>100212000</v>
      </c>
      <c r="C1278" t="s">
        <v>4469</v>
      </c>
      <c r="D1278">
        <v>5810</v>
      </c>
      <c r="E1278" t="str">
        <f>"100212108"</f>
        <v>100212108</v>
      </c>
      <c r="F1278" t="s">
        <v>4480</v>
      </c>
      <c r="G1278" t="s">
        <v>42</v>
      </c>
      <c r="H1278" t="s">
        <v>4470</v>
      </c>
      <c r="I1278" t="s">
        <v>4471</v>
      </c>
      <c r="J1278" t="s">
        <v>3361</v>
      </c>
      <c r="K1278" t="str">
        <f t="shared" si="212"/>
        <v>5205452220</v>
      </c>
      <c r="L1278" t="str">
        <f>""</f>
        <v/>
      </c>
      <c r="M1278" t="str">
        <f t="shared" si="213"/>
        <v>5205452143</v>
      </c>
      <c r="N1278" t="str">
        <f>""</f>
        <v/>
      </c>
      <c r="O1278" t="s">
        <v>4472</v>
      </c>
      <c r="P1278" t="s">
        <v>4481</v>
      </c>
      <c r="Q1278" t="s">
        <v>4482</v>
      </c>
      <c r="R1278" t="s">
        <v>4169</v>
      </c>
      <c r="S1278" t="s">
        <v>36</v>
      </c>
      <c r="T1278" t="str">
        <f t="shared" si="214"/>
        <v>85706</v>
      </c>
      <c r="U1278" t="str">
        <f>""</f>
        <v/>
      </c>
      <c r="V1278" t="s">
        <v>4483</v>
      </c>
      <c r="X1278" t="s">
        <v>4169</v>
      </c>
      <c r="Y1278" t="s">
        <v>36</v>
      </c>
      <c r="Z1278" t="str">
        <f t="shared" si="215"/>
        <v>85706</v>
      </c>
      <c r="AA1278" t="str">
        <f>""</f>
        <v/>
      </c>
      <c r="AB1278" t="s">
        <v>217</v>
      </c>
    </row>
    <row r="1279" spans="1:28" x14ac:dyDescent="0.25">
      <c r="A1279">
        <v>4407</v>
      </c>
      <c r="B1279" t="str">
        <f t="shared" si="211"/>
        <v>100212000</v>
      </c>
      <c r="C1279" t="s">
        <v>4469</v>
      </c>
      <c r="D1279">
        <v>5812</v>
      </c>
      <c r="E1279" t="str">
        <f>"100212112"</f>
        <v>100212112</v>
      </c>
      <c r="F1279" t="s">
        <v>4484</v>
      </c>
      <c r="G1279" t="s">
        <v>42</v>
      </c>
      <c r="H1279" t="s">
        <v>4470</v>
      </c>
      <c r="I1279" t="s">
        <v>4471</v>
      </c>
      <c r="J1279" t="s">
        <v>3361</v>
      </c>
      <c r="K1279" t="str">
        <f t="shared" si="212"/>
        <v>5205452220</v>
      </c>
      <c r="L1279" t="str">
        <f>""</f>
        <v/>
      </c>
      <c r="M1279" t="str">
        <f t="shared" si="213"/>
        <v>5205452143</v>
      </c>
      <c r="N1279" t="str">
        <f>""</f>
        <v/>
      </c>
      <c r="O1279" t="s">
        <v>4472</v>
      </c>
      <c r="P1279" t="s">
        <v>4473</v>
      </c>
      <c r="Q1279" t="s">
        <v>4482</v>
      </c>
      <c r="R1279" t="s">
        <v>4169</v>
      </c>
      <c r="S1279" t="s">
        <v>36</v>
      </c>
      <c r="T1279" t="str">
        <f t="shared" si="214"/>
        <v>85706</v>
      </c>
      <c r="U1279" t="str">
        <f>""</f>
        <v/>
      </c>
      <c r="V1279" t="s">
        <v>4485</v>
      </c>
      <c r="X1279" t="s">
        <v>4169</v>
      </c>
      <c r="Y1279" t="s">
        <v>36</v>
      </c>
      <c r="Z1279" t="str">
        <f t="shared" si="215"/>
        <v>85706</v>
      </c>
      <c r="AA1279" t="str">
        <f>""</f>
        <v/>
      </c>
      <c r="AB1279" t="s">
        <v>217</v>
      </c>
    </row>
    <row r="1280" spans="1:28" x14ac:dyDescent="0.25">
      <c r="A1280">
        <v>4407</v>
      </c>
      <c r="B1280" t="str">
        <f t="shared" si="211"/>
        <v>100212000</v>
      </c>
      <c r="C1280" t="s">
        <v>4469</v>
      </c>
      <c r="D1280">
        <v>5813</v>
      </c>
      <c r="E1280" t="str">
        <f>"100212114"</f>
        <v>100212114</v>
      </c>
      <c r="F1280" t="s">
        <v>4486</v>
      </c>
      <c r="G1280" t="s">
        <v>42</v>
      </c>
      <c r="H1280" t="s">
        <v>4470</v>
      </c>
      <c r="I1280" t="s">
        <v>4471</v>
      </c>
      <c r="J1280" t="s">
        <v>3361</v>
      </c>
      <c r="K1280" t="str">
        <f t="shared" si="212"/>
        <v>5205452220</v>
      </c>
      <c r="L1280" t="str">
        <f>""</f>
        <v/>
      </c>
      <c r="M1280" t="str">
        <f t="shared" si="213"/>
        <v>5205452143</v>
      </c>
      <c r="N1280" t="str">
        <f>""</f>
        <v/>
      </c>
      <c r="O1280" t="s">
        <v>4472</v>
      </c>
      <c r="P1280" t="s">
        <v>4473</v>
      </c>
      <c r="Q1280" t="s">
        <v>4482</v>
      </c>
      <c r="R1280" t="s">
        <v>4169</v>
      </c>
      <c r="S1280" t="s">
        <v>36</v>
      </c>
      <c r="T1280" t="str">
        <f t="shared" si="214"/>
        <v>85706</v>
      </c>
      <c r="U1280" t="str">
        <f>""</f>
        <v/>
      </c>
      <c r="V1280" t="s">
        <v>4487</v>
      </c>
      <c r="X1280" t="s">
        <v>4169</v>
      </c>
      <c r="Y1280" t="s">
        <v>36</v>
      </c>
      <c r="Z1280" t="str">
        <f t="shared" si="215"/>
        <v>85706</v>
      </c>
      <c r="AA1280" t="str">
        <f>""</f>
        <v/>
      </c>
      <c r="AB1280" t="s">
        <v>217</v>
      </c>
    </row>
    <row r="1281" spans="1:28" x14ac:dyDescent="0.25">
      <c r="A1281">
        <v>4407</v>
      </c>
      <c r="B1281" t="str">
        <f t="shared" si="211"/>
        <v>100212000</v>
      </c>
      <c r="C1281" t="s">
        <v>4469</v>
      </c>
      <c r="D1281">
        <v>5814</v>
      </c>
      <c r="E1281" t="str">
        <f>"100212115"</f>
        <v>100212115</v>
      </c>
      <c r="F1281" t="s">
        <v>2051</v>
      </c>
      <c r="G1281" t="s">
        <v>42</v>
      </c>
      <c r="H1281" t="s">
        <v>4470</v>
      </c>
      <c r="I1281" t="s">
        <v>4471</v>
      </c>
      <c r="J1281" t="s">
        <v>3361</v>
      </c>
      <c r="K1281" t="str">
        <f t="shared" si="212"/>
        <v>5205452220</v>
      </c>
      <c r="L1281" t="str">
        <f>""</f>
        <v/>
      </c>
      <c r="M1281" t="str">
        <f t="shared" si="213"/>
        <v>5205452143</v>
      </c>
      <c r="N1281" t="str">
        <f>""</f>
        <v/>
      </c>
      <c r="O1281" t="s">
        <v>4472</v>
      </c>
      <c r="P1281" t="s">
        <v>4473</v>
      </c>
      <c r="Q1281" t="s">
        <v>4482</v>
      </c>
      <c r="R1281" t="s">
        <v>4169</v>
      </c>
      <c r="S1281" t="s">
        <v>36</v>
      </c>
      <c r="T1281" t="str">
        <f t="shared" si="214"/>
        <v>85706</v>
      </c>
      <c r="U1281" t="str">
        <f>""</f>
        <v/>
      </c>
      <c r="V1281" t="s">
        <v>4488</v>
      </c>
      <c r="X1281" t="s">
        <v>4169</v>
      </c>
      <c r="Y1281" t="s">
        <v>36</v>
      </c>
      <c r="Z1281" t="str">
        <f t="shared" si="215"/>
        <v>85706</v>
      </c>
      <c r="AA1281" t="str">
        <f>""</f>
        <v/>
      </c>
      <c r="AB1281" t="s">
        <v>217</v>
      </c>
    </row>
    <row r="1282" spans="1:28" x14ac:dyDescent="0.25">
      <c r="A1282">
        <v>4407</v>
      </c>
      <c r="B1282" t="str">
        <f t="shared" si="211"/>
        <v>100212000</v>
      </c>
      <c r="C1282" t="s">
        <v>4469</v>
      </c>
      <c r="D1282">
        <v>5815</v>
      </c>
      <c r="E1282" t="str">
        <f>"100212116"</f>
        <v>100212116</v>
      </c>
      <c r="F1282" t="s">
        <v>1598</v>
      </c>
      <c r="G1282" t="s">
        <v>42</v>
      </c>
      <c r="H1282" t="s">
        <v>4470</v>
      </c>
      <c r="I1282" t="s">
        <v>4471</v>
      </c>
      <c r="J1282" t="s">
        <v>3361</v>
      </c>
      <c r="K1282" t="str">
        <f t="shared" si="212"/>
        <v>5205452220</v>
      </c>
      <c r="L1282" t="str">
        <f>""</f>
        <v/>
      </c>
      <c r="M1282" t="str">
        <f t="shared" si="213"/>
        <v>5205452143</v>
      </c>
      <c r="N1282" t="str">
        <f>""</f>
        <v/>
      </c>
      <c r="O1282" t="s">
        <v>4472</v>
      </c>
      <c r="P1282" t="s">
        <v>4473</v>
      </c>
      <c r="Q1282" t="s">
        <v>4482</v>
      </c>
      <c r="R1282" t="s">
        <v>4169</v>
      </c>
      <c r="S1282" t="s">
        <v>36</v>
      </c>
      <c r="T1282" t="str">
        <f t="shared" si="214"/>
        <v>85706</v>
      </c>
      <c r="U1282" t="str">
        <f>""</f>
        <v/>
      </c>
      <c r="V1282" t="s">
        <v>4489</v>
      </c>
      <c r="X1282" t="s">
        <v>4169</v>
      </c>
      <c r="Y1282" t="s">
        <v>36</v>
      </c>
      <c r="Z1282" t="str">
        <f t="shared" si="215"/>
        <v>85706</v>
      </c>
      <c r="AA1282" t="str">
        <f>""</f>
        <v/>
      </c>
      <c r="AB1282" t="s">
        <v>217</v>
      </c>
    </row>
    <row r="1283" spans="1:28" x14ac:dyDescent="0.25">
      <c r="A1283">
        <v>4407</v>
      </c>
      <c r="B1283" t="str">
        <f t="shared" si="211"/>
        <v>100212000</v>
      </c>
      <c r="C1283" t="s">
        <v>4469</v>
      </c>
      <c r="D1283">
        <v>5816</v>
      </c>
      <c r="E1283" t="str">
        <f>"100212117"</f>
        <v>100212117</v>
      </c>
      <c r="F1283" t="s">
        <v>4490</v>
      </c>
      <c r="G1283" t="s">
        <v>42</v>
      </c>
      <c r="H1283" t="s">
        <v>4470</v>
      </c>
      <c r="I1283" t="s">
        <v>4471</v>
      </c>
      <c r="J1283" t="s">
        <v>3361</v>
      </c>
      <c r="K1283" t="str">
        <f t="shared" si="212"/>
        <v>5205452220</v>
      </c>
      <c r="L1283" t="str">
        <f>""</f>
        <v/>
      </c>
      <c r="M1283" t="str">
        <f t="shared" si="213"/>
        <v>5205452143</v>
      </c>
      <c r="N1283" t="str">
        <f>""</f>
        <v/>
      </c>
      <c r="O1283" t="s">
        <v>4472</v>
      </c>
      <c r="P1283" t="s">
        <v>4473</v>
      </c>
      <c r="Q1283" t="s">
        <v>4482</v>
      </c>
      <c r="R1283" t="s">
        <v>4169</v>
      </c>
      <c r="S1283" t="s">
        <v>36</v>
      </c>
      <c r="T1283" t="str">
        <f t="shared" si="214"/>
        <v>85706</v>
      </c>
      <c r="U1283" t="str">
        <f>""</f>
        <v/>
      </c>
      <c r="V1283" t="s">
        <v>4491</v>
      </c>
      <c r="X1283" t="s">
        <v>4169</v>
      </c>
      <c r="Y1283" t="s">
        <v>36</v>
      </c>
      <c r="Z1283" t="str">
        <f t="shared" si="215"/>
        <v>85706</v>
      </c>
      <c r="AA1283" t="str">
        <f>""</f>
        <v/>
      </c>
      <c r="AB1283" t="s">
        <v>217</v>
      </c>
    </row>
    <row r="1284" spans="1:28" x14ac:dyDescent="0.25">
      <c r="A1284">
        <v>4407</v>
      </c>
      <c r="B1284" t="str">
        <f t="shared" si="211"/>
        <v>100212000</v>
      </c>
      <c r="C1284" t="s">
        <v>4469</v>
      </c>
      <c r="D1284">
        <v>5817</v>
      </c>
      <c r="E1284" t="str">
        <f>"100212118"</f>
        <v>100212118</v>
      </c>
      <c r="F1284" t="s">
        <v>4492</v>
      </c>
      <c r="G1284" t="s">
        <v>42</v>
      </c>
      <c r="H1284" t="s">
        <v>4470</v>
      </c>
      <c r="I1284" t="s">
        <v>4471</v>
      </c>
      <c r="J1284" t="s">
        <v>3361</v>
      </c>
      <c r="K1284" t="str">
        <f t="shared" si="212"/>
        <v>5205452220</v>
      </c>
      <c r="L1284" t="str">
        <f>""</f>
        <v/>
      </c>
      <c r="M1284" t="str">
        <f t="shared" si="213"/>
        <v>5205452143</v>
      </c>
      <c r="N1284" t="str">
        <f>""</f>
        <v/>
      </c>
      <c r="O1284" t="s">
        <v>4472</v>
      </c>
      <c r="P1284" t="s">
        <v>4473</v>
      </c>
      <c r="Q1284" t="s">
        <v>4482</v>
      </c>
      <c r="R1284" t="s">
        <v>4169</v>
      </c>
      <c r="S1284" t="s">
        <v>36</v>
      </c>
      <c r="T1284" t="str">
        <f t="shared" si="214"/>
        <v>85706</v>
      </c>
      <c r="U1284" t="str">
        <f>""</f>
        <v/>
      </c>
      <c r="V1284" t="s">
        <v>4493</v>
      </c>
      <c r="X1284" t="s">
        <v>4169</v>
      </c>
      <c r="Y1284" t="s">
        <v>36</v>
      </c>
      <c r="Z1284" t="str">
        <f t="shared" si="215"/>
        <v>85706</v>
      </c>
      <c r="AA1284" t="str">
        <f>""</f>
        <v/>
      </c>
      <c r="AB1284" t="s">
        <v>217</v>
      </c>
    </row>
    <row r="1285" spans="1:28" x14ac:dyDescent="0.25">
      <c r="A1285">
        <v>4407</v>
      </c>
      <c r="B1285" t="str">
        <f t="shared" si="211"/>
        <v>100212000</v>
      </c>
      <c r="C1285" t="s">
        <v>4469</v>
      </c>
      <c r="D1285">
        <v>5818</v>
      </c>
      <c r="E1285" t="str">
        <f>"100212119"</f>
        <v>100212119</v>
      </c>
      <c r="F1285" t="s">
        <v>4494</v>
      </c>
      <c r="G1285" t="s">
        <v>42</v>
      </c>
      <c r="H1285" t="s">
        <v>4470</v>
      </c>
      <c r="I1285" t="s">
        <v>4471</v>
      </c>
      <c r="J1285" t="s">
        <v>3361</v>
      </c>
      <c r="K1285" t="str">
        <f t="shared" si="212"/>
        <v>5205452220</v>
      </c>
      <c r="L1285" t="str">
        <f>""</f>
        <v/>
      </c>
      <c r="M1285" t="str">
        <f t="shared" si="213"/>
        <v>5205452143</v>
      </c>
      <c r="N1285" t="str">
        <f>""</f>
        <v/>
      </c>
      <c r="O1285" t="s">
        <v>4472</v>
      </c>
      <c r="P1285" t="s">
        <v>4473</v>
      </c>
      <c r="Q1285" t="s">
        <v>4482</v>
      </c>
      <c r="R1285" t="s">
        <v>4169</v>
      </c>
      <c r="S1285" t="s">
        <v>36</v>
      </c>
      <c r="T1285" t="str">
        <f t="shared" si="214"/>
        <v>85706</v>
      </c>
      <c r="U1285" t="str">
        <f>""</f>
        <v/>
      </c>
      <c r="V1285" t="s">
        <v>4495</v>
      </c>
      <c r="X1285" t="s">
        <v>4169</v>
      </c>
      <c r="Y1285" t="s">
        <v>36</v>
      </c>
      <c r="Z1285" t="str">
        <f t="shared" si="215"/>
        <v>85706</v>
      </c>
      <c r="AA1285" t="str">
        <f>""</f>
        <v/>
      </c>
      <c r="AB1285" t="s">
        <v>217</v>
      </c>
    </row>
    <row r="1286" spans="1:28" x14ac:dyDescent="0.25">
      <c r="A1286">
        <v>4407</v>
      </c>
      <c r="B1286" t="str">
        <f t="shared" si="211"/>
        <v>100212000</v>
      </c>
      <c r="C1286" t="s">
        <v>4469</v>
      </c>
      <c r="D1286">
        <v>5820</v>
      </c>
      <c r="E1286" t="str">
        <f>"100212122"</f>
        <v>100212122</v>
      </c>
      <c r="F1286" t="s">
        <v>4496</v>
      </c>
      <c r="G1286" t="s">
        <v>42</v>
      </c>
      <c r="H1286" t="s">
        <v>4470</v>
      </c>
      <c r="I1286" t="s">
        <v>4471</v>
      </c>
      <c r="J1286" t="s">
        <v>3361</v>
      </c>
      <c r="K1286" t="str">
        <f t="shared" si="212"/>
        <v>5205452220</v>
      </c>
      <c r="L1286" t="str">
        <f>""</f>
        <v/>
      </c>
      <c r="M1286" t="str">
        <f t="shared" si="213"/>
        <v>5205452143</v>
      </c>
      <c r="N1286" t="str">
        <f>""</f>
        <v/>
      </c>
      <c r="O1286" t="s">
        <v>4472</v>
      </c>
      <c r="P1286" t="s">
        <v>4473</v>
      </c>
      <c r="Q1286" t="s">
        <v>4482</v>
      </c>
      <c r="R1286" t="s">
        <v>4169</v>
      </c>
      <c r="S1286" t="s">
        <v>36</v>
      </c>
      <c r="T1286" t="str">
        <f t="shared" si="214"/>
        <v>85706</v>
      </c>
      <c r="U1286" t="str">
        <f>""</f>
        <v/>
      </c>
      <c r="V1286" t="s">
        <v>4497</v>
      </c>
      <c r="X1286" t="s">
        <v>4169</v>
      </c>
      <c r="Y1286" t="s">
        <v>36</v>
      </c>
      <c r="Z1286" t="str">
        <f t="shared" si="215"/>
        <v>85706</v>
      </c>
      <c r="AA1286" t="str">
        <f>""</f>
        <v/>
      </c>
      <c r="AB1286" t="s">
        <v>217</v>
      </c>
    </row>
    <row r="1287" spans="1:28" x14ac:dyDescent="0.25">
      <c r="A1287">
        <v>4407</v>
      </c>
      <c r="B1287" t="str">
        <f t="shared" si="211"/>
        <v>100212000</v>
      </c>
      <c r="C1287" t="s">
        <v>4469</v>
      </c>
      <c r="D1287">
        <v>5821</v>
      </c>
      <c r="E1287" t="str">
        <f>"100212123"</f>
        <v>100212123</v>
      </c>
      <c r="F1287" t="s">
        <v>4498</v>
      </c>
      <c r="G1287" t="s">
        <v>42</v>
      </c>
      <c r="H1287" t="s">
        <v>4470</v>
      </c>
      <c r="I1287" t="s">
        <v>4471</v>
      </c>
      <c r="J1287" t="s">
        <v>3361</v>
      </c>
      <c r="K1287" t="str">
        <f t="shared" si="212"/>
        <v>5205452220</v>
      </c>
      <c r="L1287" t="str">
        <f>""</f>
        <v/>
      </c>
      <c r="M1287" t="str">
        <f t="shared" si="213"/>
        <v>5205452143</v>
      </c>
      <c r="N1287" t="str">
        <f>""</f>
        <v/>
      </c>
      <c r="O1287" t="s">
        <v>4472</v>
      </c>
      <c r="P1287" t="s">
        <v>4473</v>
      </c>
      <c r="Q1287" t="s">
        <v>4482</v>
      </c>
      <c r="R1287" t="s">
        <v>4169</v>
      </c>
      <c r="S1287" t="s">
        <v>36</v>
      </c>
      <c r="T1287" t="str">
        <f t="shared" si="214"/>
        <v>85706</v>
      </c>
      <c r="U1287" t="str">
        <f>""</f>
        <v/>
      </c>
      <c r="V1287" t="s">
        <v>4499</v>
      </c>
      <c r="X1287" t="s">
        <v>4169</v>
      </c>
      <c r="Y1287" t="s">
        <v>36</v>
      </c>
      <c r="Z1287" t="str">
        <f t="shared" si="215"/>
        <v>85706</v>
      </c>
      <c r="AA1287" t="str">
        <f>""</f>
        <v/>
      </c>
      <c r="AB1287" t="s">
        <v>217</v>
      </c>
    </row>
    <row r="1288" spans="1:28" x14ac:dyDescent="0.25">
      <c r="A1288">
        <v>4407</v>
      </c>
      <c r="B1288" t="str">
        <f t="shared" si="211"/>
        <v>100212000</v>
      </c>
      <c r="C1288" t="s">
        <v>4469</v>
      </c>
      <c r="D1288">
        <v>5822</v>
      </c>
      <c r="E1288" t="str">
        <f>"100212126"</f>
        <v>100212126</v>
      </c>
      <c r="F1288" t="s">
        <v>4500</v>
      </c>
      <c r="G1288" t="s">
        <v>42</v>
      </c>
      <c r="H1288" t="s">
        <v>4470</v>
      </c>
      <c r="I1288" t="s">
        <v>4471</v>
      </c>
      <c r="J1288" t="s">
        <v>3361</v>
      </c>
      <c r="K1288" t="str">
        <f t="shared" si="212"/>
        <v>5205452220</v>
      </c>
      <c r="L1288" t="str">
        <f>""</f>
        <v/>
      </c>
      <c r="M1288" t="str">
        <f t="shared" si="213"/>
        <v>5205452143</v>
      </c>
      <c r="N1288" t="str">
        <f>""</f>
        <v/>
      </c>
      <c r="O1288" t="s">
        <v>4472</v>
      </c>
      <c r="P1288" t="s">
        <v>4473</v>
      </c>
      <c r="Q1288" t="s">
        <v>4482</v>
      </c>
      <c r="R1288" t="s">
        <v>4169</v>
      </c>
      <c r="S1288" t="s">
        <v>36</v>
      </c>
      <c r="T1288" t="str">
        <f t="shared" si="214"/>
        <v>85706</v>
      </c>
      <c r="U1288" t="str">
        <f>""</f>
        <v/>
      </c>
      <c r="V1288" t="s">
        <v>4501</v>
      </c>
      <c r="X1288" t="s">
        <v>4169</v>
      </c>
      <c r="Y1288" t="s">
        <v>36</v>
      </c>
      <c r="Z1288" t="str">
        <f t="shared" si="215"/>
        <v>85706</v>
      </c>
      <c r="AA1288" t="str">
        <f>""</f>
        <v/>
      </c>
      <c r="AB1288" t="s">
        <v>217</v>
      </c>
    </row>
    <row r="1289" spans="1:28" x14ac:dyDescent="0.25">
      <c r="A1289">
        <v>4407</v>
      </c>
      <c r="B1289" t="str">
        <f t="shared" si="211"/>
        <v>100212000</v>
      </c>
      <c r="C1289" t="s">
        <v>4469</v>
      </c>
      <c r="D1289">
        <v>5823</v>
      </c>
      <c r="E1289" t="str">
        <f>"100212131"</f>
        <v>100212131</v>
      </c>
      <c r="F1289" t="s">
        <v>4502</v>
      </c>
      <c r="G1289" t="s">
        <v>42</v>
      </c>
      <c r="H1289" t="s">
        <v>4470</v>
      </c>
      <c r="I1289" t="s">
        <v>4471</v>
      </c>
      <c r="J1289" t="s">
        <v>3361</v>
      </c>
      <c r="K1289" t="str">
        <f t="shared" si="212"/>
        <v>5205452220</v>
      </c>
      <c r="L1289" t="str">
        <f>""</f>
        <v/>
      </c>
      <c r="M1289" t="str">
        <f t="shared" si="213"/>
        <v>5205452143</v>
      </c>
      <c r="N1289" t="str">
        <f>""</f>
        <v/>
      </c>
      <c r="O1289" t="s">
        <v>4472</v>
      </c>
      <c r="P1289" t="s">
        <v>4473</v>
      </c>
      <c r="Q1289" t="s">
        <v>4482</v>
      </c>
      <c r="R1289" t="s">
        <v>4169</v>
      </c>
      <c r="S1289" t="s">
        <v>36</v>
      </c>
      <c r="T1289" t="str">
        <f t="shared" si="214"/>
        <v>85706</v>
      </c>
      <c r="U1289" t="str">
        <f>""</f>
        <v/>
      </c>
      <c r="V1289" t="s">
        <v>4503</v>
      </c>
      <c r="X1289" t="s">
        <v>4169</v>
      </c>
      <c r="Y1289" t="s">
        <v>36</v>
      </c>
      <c r="Z1289" t="str">
        <f t="shared" si="215"/>
        <v>85706</v>
      </c>
      <c r="AA1289" t="str">
        <f>""</f>
        <v/>
      </c>
      <c r="AB1289" t="s">
        <v>217</v>
      </c>
    </row>
    <row r="1290" spans="1:28" x14ac:dyDescent="0.25">
      <c r="A1290">
        <v>4407</v>
      </c>
      <c r="B1290" t="str">
        <f t="shared" si="211"/>
        <v>100212000</v>
      </c>
      <c r="C1290" t="s">
        <v>4469</v>
      </c>
      <c r="D1290">
        <v>5824</v>
      </c>
      <c r="E1290" t="str">
        <f>"100212132"</f>
        <v>100212132</v>
      </c>
      <c r="F1290" t="s">
        <v>2873</v>
      </c>
      <c r="G1290" t="s">
        <v>42</v>
      </c>
      <c r="H1290" t="s">
        <v>4470</v>
      </c>
      <c r="I1290" t="s">
        <v>4471</v>
      </c>
      <c r="J1290" t="s">
        <v>3361</v>
      </c>
      <c r="K1290" t="str">
        <f t="shared" si="212"/>
        <v>5205452220</v>
      </c>
      <c r="L1290" t="str">
        <f>""</f>
        <v/>
      </c>
      <c r="M1290" t="str">
        <f t="shared" si="213"/>
        <v>5205452143</v>
      </c>
      <c r="N1290" t="str">
        <f>""</f>
        <v/>
      </c>
      <c r="O1290" t="s">
        <v>4472</v>
      </c>
      <c r="P1290" t="s">
        <v>4481</v>
      </c>
      <c r="Q1290" t="s">
        <v>4474</v>
      </c>
      <c r="R1290" t="s">
        <v>4169</v>
      </c>
      <c r="S1290" t="s">
        <v>36</v>
      </c>
      <c r="T1290" t="str">
        <f t="shared" si="214"/>
        <v>85706</v>
      </c>
      <c r="U1290" t="str">
        <f>""</f>
        <v/>
      </c>
      <c r="V1290" t="s">
        <v>4504</v>
      </c>
      <c r="X1290" t="s">
        <v>4169</v>
      </c>
      <c r="Y1290" t="s">
        <v>36</v>
      </c>
      <c r="Z1290" t="str">
        <f t="shared" si="215"/>
        <v>85706</v>
      </c>
      <c r="AA1290" t="str">
        <f>""</f>
        <v/>
      </c>
      <c r="AB1290" t="s">
        <v>217</v>
      </c>
    </row>
    <row r="1291" spans="1:28" x14ac:dyDescent="0.25">
      <c r="A1291">
        <v>4407</v>
      </c>
      <c r="B1291" t="str">
        <f t="shared" si="211"/>
        <v>100212000</v>
      </c>
      <c r="C1291" t="s">
        <v>4469</v>
      </c>
      <c r="D1291">
        <v>5825</v>
      </c>
      <c r="E1291" t="str">
        <f>"100212134"</f>
        <v>100212134</v>
      </c>
      <c r="F1291" t="s">
        <v>4505</v>
      </c>
      <c r="G1291" t="s">
        <v>42</v>
      </c>
      <c r="H1291" t="s">
        <v>4470</v>
      </c>
      <c r="I1291" t="s">
        <v>4471</v>
      </c>
      <c r="J1291" t="s">
        <v>3361</v>
      </c>
      <c r="K1291" t="str">
        <f t="shared" si="212"/>
        <v>5205452220</v>
      </c>
      <c r="L1291" t="str">
        <f>""</f>
        <v/>
      </c>
      <c r="M1291" t="str">
        <f t="shared" si="213"/>
        <v>5205452143</v>
      </c>
      <c r="N1291" t="str">
        <f>""</f>
        <v/>
      </c>
      <c r="O1291" t="s">
        <v>4472</v>
      </c>
      <c r="P1291" t="s">
        <v>4473</v>
      </c>
      <c r="Q1291" t="s">
        <v>4482</v>
      </c>
      <c r="R1291" t="s">
        <v>4169</v>
      </c>
      <c r="S1291" t="s">
        <v>36</v>
      </c>
      <c r="T1291" t="str">
        <f t="shared" si="214"/>
        <v>85706</v>
      </c>
      <c r="U1291" t="str">
        <f>""</f>
        <v/>
      </c>
      <c r="V1291" t="s">
        <v>4506</v>
      </c>
      <c r="X1291" t="s">
        <v>4169</v>
      </c>
      <c r="Y1291" t="s">
        <v>36</v>
      </c>
      <c r="Z1291" t="str">
        <f t="shared" si="215"/>
        <v>85706</v>
      </c>
      <c r="AA1291" t="str">
        <f>""</f>
        <v/>
      </c>
      <c r="AB1291" t="s">
        <v>217</v>
      </c>
    </row>
    <row r="1292" spans="1:28" x14ac:dyDescent="0.25">
      <c r="A1292">
        <v>4407</v>
      </c>
      <c r="B1292" t="str">
        <f t="shared" si="211"/>
        <v>100212000</v>
      </c>
      <c r="C1292" t="s">
        <v>4469</v>
      </c>
      <c r="D1292">
        <v>5826</v>
      </c>
      <c r="E1292" t="str">
        <f>"100212211"</f>
        <v>100212211</v>
      </c>
      <c r="F1292" t="s">
        <v>4507</v>
      </c>
      <c r="G1292" t="s">
        <v>42</v>
      </c>
      <c r="H1292" t="s">
        <v>4470</v>
      </c>
      <c r="I1292" t="s">
        <v>4471</v>
      </c>
      <c r="J1292" t="s">
        <v>3361</v>
      </c>
      <c r="K1292" t="str">
        <f t="shared" si="212"/>
        <v>5205452220</v>
      </c>
      <c r="L1292" t="str">
        <f>""</f>
        <v/>
      </c>
      <c r="M1292" t="str">
        <f t="shared" si="213"/>
        <v>5205452143</v>
      </c>
      <c r="N1292" t="str">
        <f>""</f>
        <v/>
      </c>
      <c r="O1292" t="s">
        <v>4472</v>
      </c>
      <c r="P1292" t="s">
        <v>4481</v>
      </c>
      <c r="Q1292" t="s">
        <v>4482</v>
      </c>
      <c r="R1292" t="s">
        <v>4169</v>
      </c>
      <c r="S1292" t="s">
        <v>36</v>
      </c>
      <c r="T1292" t="str">
        <f t="shared" si="214"/>
        <v>85706</v>
      </c>
      <c r="U1292" t="str">
        <f>""</f>
        <v/>
      </c>
      <c r="V1292" t="s">
        <v>4508</v>
      </c>
      <c r="X1292" t="s">
        <v>4169</v>
      </c>
      <c r="Y1292" t="s">
        <v>36</v>
      </c>
      <c r="Z1292" t="str">
        <f t="shared" si="215"/>
        <v>85706</v>
      </c>
      <c r="AA1292" t="str">
        <f>""</f>
        <v/>
      </c>
      <c r="AB1292" t="s">
        <v>217</v>
      </c>
    </row>
    <row r="1293" spans="1:28" x14ac:dyDescent="0.25">
      <c r="A1293">
        <v>4407</v>
      </c>
      <c r="B1293" t="str">
        <f t="shared" si="211"/>
        <v>100212000</v>
      </c>
      <c r="C1293" t="s">
        <v>4469</v>
      </c>
      <c r="D1293">
        <v>5827</v>
      </c>
      <c r="E1293" t="str">
        <f>"100212230"</f>
        <v>100212230</v>
      </c>
      <c r="F1293" t="s">
        <v>4509</v>
      </c>
      <c r="G1293" t="s">
        <v>42</v>
      </c>
      <c r="H1293" t="s">
        <v>4470</v>
      </c>
      <c r="I1293" t="s">
        <v>4471</v>
      </c>
      <c r="J1293" t="s">
        <v>3361</v>
      </c>
      <c r="K1293" t="str">
        <f t="shared" si="212"/>
        <v>5205452220</v>
      </c>
      <c r="L1293" t="str">
        <f>""</f>
        <v/>
      </c>
      <c r="M1293" t="str">
        <f t="shared" si="213"/>
        <v>5205452143</v>
      </c>
      <c r="N1293" t="str">
        <f>""</f>
        <v/>
      </c>
      <c r="O1293" t="s">
        <v>4472</v>
      </c>
      <c r="P1293" t="s">
        <v>4473</v>
      </c>
      <c r="Q1293" t="s">
        <v>4482</v>
      </c>
      <c r="R1293" t="s">
        <v>4169</v>
      </c>
      <c r="S1293" t="s">
        <v>36</v>
      </c>
      <c r="T1293" t="str">
        <f t="shared" si="214"/>
        <v>85706</v>
      </c>
      <c r="U1293" t="str">
        <f>""</f>
        <v/>
      </c>
      <c r="V1293" t="s">
        <v>4510</v>
      </c>
      <c r="X1293" t="s">
        <v>4169</v>
      </c>
      <c r="Y1293" t="s">
        <v>36</v>
      </c>
      <c r="Z1293" t="str">
        <f t="shared" si="215"/>
        <v>85706</v>
      </c>
      <c r="AA1293" t="str">
        <f>""</f>
        <v/>
      </c>
      <c r="AB1293" t="s">
        <v>217</v>
      </c>
    </row>
    <row r="1294" spans="1:28" x14ac:dyDescent="0.25">
      <c r="A1294">
        <v>4407</v>
      </c>
      <c r="B1294" t="str">
        <f t="shared" si="211"/>
        <v>100212000</v>
      </c>
      <c r="C1294" t="s">
        <v>4469</v>
      </c>
      <c r="D1294">
        <v>6288</v>
      </c>
      <c r="E1294" t="str">
        <f>"100212513"</f>
        <v>100212513</v>
      </c>
      <c r="F1294" t="s">
        <v>4511</v>
      </c>
      <c r="G1294" t="s">
        <v>42</v>
      </c>
      <c r="H1294" t="s">
        <v>4470</v>
      </c>
      <c r="I1294" t="s">
        <v>4471</v>
      </c>
      <c r="J1294" t="s">
        <v>3361</v>
      </c>
      <c r="K1294" t="str">
        <f t="shared" si="212"/>
        <v>5205452220</v>
      </c>
      <c r="L1294" t="str">
        <f>""</f>
        <v/>
      </c>
      <c r="M1294" t="str">
        <f t="shared" si="213"/>
        <v>5205452143</v>
      </c>
      <c r="N1294" t="str">
        <f>""</f>
        <v/>
      </c>
      <c r="O1294" t="s">
        <v>4472</v>
      </c>
      <c r="P1294" t="s">
        <v>4473</v>
      </c>
      <c r="Q1294" t="s">
        <v>4482</v>
      </c>
      <c r="R1294" t="s">
        <v>4169</v>
      </c>
      <c r="S1294" t="s">
        <v>36</v>
      </c>
      <c r="T1294" t="str">
        <f t="shared" si="214"/>
        <v>85706</v>
      </c>
      <c r="U1294" t="str">
        <f>""</f>
        <v/>
      </c>
      <c r="V1294" t="s">
        <v>4512</v>
      </c>
      <c r="X1294" t="s">
        <v>4169</v>
      </c>
      <c r="Y1294" t="s">
        <v>36</v>
      </c>
      <c r="Z1294" t="str">
        <f t="shared" si="215"/>
        <v>85706</v>
      </c>
      <c r="AA1294" t="str">
        <f>""</f>
        <v/>
      </c>
      <c r="AB1294" t="s">
        <v>217</v>
      </c>
    </row>
    <row r="1295" spans="1:28" x14ac:dyDescent="0.25">
      <c r="A1295">
        <v>4407</v>
      </c>
      <c r="B1295" t="str">
        <f t="shared" si="211"/>
        <v>100212000</v>
      </c>
      <c r="C1295" t="s">
        <v>4469</v>
      </c>
      <c r="D1295">
        <v>87532</v>
      </c>
      <c r="E1295" t="str">
        <f>"100212133"</f>
        <v>100212133</v>
      </c>
      <c r="F1295" t="s">
        <v>4513</v>
      </c>
      <c r="G1295" t="s">
        <v>42</v>
      </c>
      <c r="H1295" t="s">
        <v>4470</v>
      </c>
      <c r="I1295" t="s">
        <v>4471</v>
      </c>
      <c r="J1295" t="s">
        <v>3361</v>
      </c>
      <c r="K1295" t="str">
        <f t="shared" si="212"/>
        <v>5205452220</v>
      </c>
      <c r="L1295" t="str">
        <f>""</f>
        <v/>
      </c>
      <c r="M1295" t="str">
        <f t="shared" si="213"/>
        <v>5205452143</v>
      </c>
      <c r="N1295" t="str">
        <f>""</f>
        <v/>
      </c>
      <c r="O1295" t="s">
        <v>4472</v>
      </c>
      <c r="P1295" t="s">
        <v>4473</v>
      </c>
      <c r="Q1295" t="s">
        <v>4474</v>
      </c>
      <c r="R1295" t="s">
        <v>4169</v>
      </c>
      <c r="S1295" t="s">
        <v>36</v>
      </c>
      <c r="T1295" t="str">
        <f t="shared" si="214"/>
        <v>85706</v>
      </c>
      <c r="U1295" t="str">
        <f>""</f>
        <v/>
      </c>
      <c r="V1295" t="s">
        <v>4514</v>
      </c>
      <c r="X1295" t="s">
        <v>4169</v>
      </c>
      <c r="Y1295" t="s">
        <v>36</v>
      </c>
      <c r="Z1295" t="str">
        <f t="shared" si="215"/>
        <v>85706</v>
      </c>
      <c r="AA1295" t="str">
        <f>""</f>
        <v/>
      </c>
      <c r="AB1295" t="s">
        <v>217</v>
      </c>
    </row>
    <row r="1296" spans="1:28" x14ac:dyDescent="0.25">
      <c r="A1296">
        <v>4407</v>
      </c>
      <c r="B1296" t="str">
        <f t="shared" si="211"/>
        <v>100212000</v>
      </c>
      <c r="C1296" t="s">
        <v>4469</v>
      </c>
      <c r="D1296">
        <v>89584</v>
      </c>
      <c r="E1296" t="str">
        <f>"100212124"</f>
        <v>100212124</v>
      </c>
      <c r="F1296" t="s">
        <v>4515</v>
      </c>
      <c r="G1296" t="s">
        <v>42</v>
      </c>
      <c r="H1296" t="s">
        <v>4470</v>
      </c>
      <c r="I1296" t="s">
        <v>4471</v>
      </c>
      <c r="J1296" t="s">
        <v>3361</v>
      </c>
      <c r="K1296" t="str">
        <f t="shared" si="212"/>
        <v>5205452220</v>
      </c>
      <c r="L1296" t="str">
        <f>""</f>
        <v/>
      </c>
      <c r="M1296" t="str">
        <f t="shared" si="213"/>
        <v>5205452143</v>
      </c>
      <c r="N1296" t="str">
        <f>""</f>
        <v/>
      </c>
      <c r="O1296" t="s">
        <v>4472</v>
      </c>
      <c r="P1296" t="s">
        <v>4473</v>
      </c>
      <c r="Q1296" t="s">
        <v>4482</v>
      </c>
      <c r="R1296" t="s">
        <v>4169</v>
      </c>
      <c r="S1296" t="s">
        <v>36</v>
      </c>
      <c r="T1296" t="str">
        <f t="shared" si="214"/>
        <v>85706</v>
      </c>
      <c r="U1296" t="str">
        <f>""</f>
        <v/>
      </c>
      <c r="V1296" t="s">
        <v>4516</v>
      </c>
      <c r="X1296" t="s">
        <v>4169</v>
      </c>
      <c r="Y1296" t="s">
        <v>36</v>
      </c>
      <c r="Z1296" t="str">
        <f t="shared" si="215"/>
        <v>85706</v>
      </c>
      <c r="AA1296" t="str">
        <f>""</f>
        <v/>
      </c>
      <c r="AB1296" t="s">
        <v>217</v>
      </c>
    </row>
    <row r="1297" spans="1:28" x14ac:dyDescent="0.25">
      <c r="A1297">
        <v>4407</v>
      </c>
      <c r="B1297" t="str">
        <f t="shared" si="211"/>
        <v>100212000</v>
      </c>
      <c r="C1297" t="s">
        <v>4469</v>
      </c>
      <c r="D1297">
        <v>92770</v>
      </c>
      <c r="E1297" t="str">
        <f>"100212105"</f>
        <v>100212105</v>
      </c>
      <c r="F1297" t="s">
        <v>4517</v>
      </c>
      <c r="G1297" t="s">
        <v>42</v>
      </c>
      <c r="H1297" t="s">
        <v>4470</v>
      </c>
      <c r="I1297" t="s">
        <v>4471</v>
      </c>
      <c r="J1297" t="s">
        <v>3361</v>
      </c>
      <c r="K1297" t="str">
        <f t="shared" si="212"/>
        <v>5205452220</v>
      </c>
      <c r="L1297" t="str">
        <f>""</f>
        <v/>
      </c>
      <c r="M1297" t="str">
        <f t="shared" si="213"/>
        <v>5205452143</v>
      </c>
      <c r="N1297" t="str">
        <f>""</f>
        <v/>
      </c>
      <c r="O1297" t="s">
        <v>4472</v>
      </c>
      <c r="P1297" t="s">
        <v>4473</v>
      </c>
      <c r="R1297" t="s">
        <v>4169</v>
      </c>
      <c r="S1297" t="s">
        <v>36</v>
      </c>
      <c r="T1297" t="str">
        <f t="shared" si="214"/>
        <v>85706</v>
      </c>
      <c r="U1297" t="str">
        <f>""</f>
        <v/>
      </c>
      <c r="V1297" t="s">
        <v>4518</v>
      </c>
      <c r="X1297" t="s">
        <v>4169</v>
      </c>
      <c r="Y1297" t="s">
        <v>36</v>
      </c>
      <c r="Z1297" t="str">
        <f t="shared" si="215"/>
        <v>85706</v>
      </c>
      <c r="AA1297" t="str">
        <f>""</f>
        <v/>
      </c>
      <c r="AB1297" t="s">
        <v>217</v>
      </c>
    </row>
    <row r="1298" spans="1:28" x14ac:dyDescent="0.25">
      <c r="A1298">
        <v>4408</v>
      </c>
      <c r="B1298" t="str">
        <f>"100213000"</f>
        <v>100213000</v>
      </c>
      <c r="C1298" t="s">
        <v>4519</v>
      </c>
      <c r="D1298">
        <v>0</v>
      </c>
      <c r="E1298" t="str">
        <f>""</f>
        <v/>
      </c>
      <c r="G1298" t="s">
        <v>29</v>
      </c>
      <c r="H1298" t="s">
        <v>4520</v>
      </c>
      <c r="I1298" t="s">
        <v>4521</v>
      </c>
      <c r="J1298" t="s">
        <v>134</v>
      </c>
      <c r="K1298" t="str">
        <f>"5207495751"</f>
        <v>5207495751</v>
      </c>
      <c r="L1298" t="str">
        <f>"4301"</f>
        <v>4301</v>
      </c>
      <c r="M1298" t="str">
        <f>""</f>
        <v/>
      </c>
      <c r="N1298" t="str">
        <f>""</f>
        <v/>
      </c>
      <c r="O1298" t="s">
        <v>4522</v>
      </c>
      <c r="P1298" t="s">
        <v>4523</v>
      </c>
      <c r="R1298" t="s">
        <v>4169</v>
      </c>
      <c r="S1298" t="s">
        <v>36</v>
      </c>
      <c r="T1298" t="str">
        <f>"85749"</f>
        <v>85749</v>
      </c>
      <c r="U1298" t="str">
        <f>""</f>
        <v/>
      </c>
      <c r="V1298" t="s">
        <v>4523</v>
      </c>
      <c r="X1298" t="s">
        <v>4169</v>
      </c>
      <c r="Y1298" t="s">
        <v>36</v>
      </c>
      <c r="Z1298" t="str">
        <f>"85749"</f>
        <v>85749</v>
      </c>
      <c r="AA1298" t="str">
        <f>""</f>
        <v/>
      </c>
      <c r="AB1298" t="s">
        <v>632</v>
      </c>
    </row>
    <row r="1299" spans="1:28" x14ac:dyDescent="0.25">
      <c r="A1299">
        <v>4408</v>
      </c>
      <c r="B1299" t="str">
        <f>"100213000"</f>
        <v>100213000</v>
      </c>
      <c r="C1299" t="s">
        <v>4519</v>
      </c>
      <c r="D1299">
        <v>5828</v>
      </c>
      <c r="E1299" t="str">
        <f>"100213002"</f>
        <v>100213002</v>
      </c>
      <c r="F1299" t="s">
        <v>4524</v>
      </c>
      <c r="G1299" t="s">
        <v>42</v>
      </c>
      <c r="H1299" t="s">
        <v>1874</v>
      </c>
      <c r="I1299" t="s">
        <v>4525</v>
      </c>
      <c r="J1299" t="s">
        <v>3712</v>
      </c>
      <c r="K1299" t="str">
        <f>"5207493838"</f>
        <v>5207493838</v>
      </c>
      <c r="L1299" t="str">
        <f>"5050"</f>
        <v>5050</v>
      </c>
      <c r="M1299" t="str">
        <f>"5207495400"</f>
        <v>5207495400</v>
      </c>
      <c r="N1299" t="str">
        <f>""</f>
        <v/>
      </c>
      <c r="O1299" t="s">
        <v>4526</v>
      </c>
      <c r="P1299" t="s">
        <v>4523</v>
      </c>
      <c r="R1299" t="s">
        <v>4169</v>
      </c>
      <c r="S1299" t="s">
        <v>36</v>
      </c>
      <c r="T1299" t="str">
        <f>"85749"</f>
        <v>85749</v>
      </c>
      <c r="U1299" t="str">
        <f>""</f>
        <v/>
      </c>
      <c r="V1299" t="s">
        <v>4527</v>
      </c>
      <c r="X1299" t="s">
        <v>4169</v>
      </c>
      <c r="Y1299" t="s">
        <v>36</v>
      </c>
      <c r="Z1299" t="str">
        <f>"85749"</f>
        <v>85749</v>
      </c>
      <c r="AA1299" t="str">
        <f>""</f>
        <v/>
      </c>
      <c r="AB1299" t="s">
        <v>632</v>
      </c>
    </row>
    <row r="1300" spans="1:28" x14ac:dyDescent="0.25">
      <c r="A1300">
        <v>4408</v>
      </c>
      <c r="B1300" t="str">
        <f>"100213000"</f>
        <v>100213000</v>
      </c>
      <c r="C1300" t="s">
        <v>4519</v>
      </c>
      <c r="D1300">
        <v>5829</v>
      </c>
      <c r="E1300" t="str">
        <f>"100213103"</f>
        <v>100213103</v>
      </c>
      <c r="F1300" t="s">
        <v>4528</v>
      </c>
      <c r="G1300" t="s">
        <v>42</v>
      </c>
      <c r="H1300" t="s">
        <v>4529</v>
      </c>
      <c r="I1300" t="s">
        <v>4530</v>
      </c>
      <c r="J1300" t="s">
        <v>3658</v>
      </c>
      <c r="K1300" t="str">
        <f>"5207499546"</f>
        <v>5207499546</v>
      </c>
      <c r="L1300" t="str">
        <f>""</f>
        <v/>
      </c>
      <c r="M1300" t="str">
        <f>"5207495400"</f>
        <v>5207495400</v>
      </c>
      <c r="N1300" t="str">
        <f>""</f>
        <v/>
      </c>
      <c r="O1300" t="s">
        <v>4531</v>
      </c>
      <c r="P1300" t="s">
        <v>4523</v>
      </c>
      <c r="R1300" t="s">
        <v>4169</v>
      </c>
      <c r="S1300" t="s">
        <v>36</v>
      </c>
      <c r="T1300" t="str">
        <f>"85749"</f>
        <v>85749</v>
      </c>
      <c r="U1300" t="str">
        <f>""</f>
        <v/>
      </c>
      <c r="V1300" t="s">
        <v>4532</v>
      </c>
      <c r="X1300" t="s">
        <v>4169</v>
      </c>
      <c r="Y1300" t="s">
        <v>36</v>
      </c>
      <c r="Z1300" t="str">
        <f>"85749"</f>
        <v>85749</v>
      </c>
      <c r="AA1300" t="str">
        <f>""</f>
        <v/>
      </c>
      <c r="AB1300" t="s">
        <v>632</v>
      </c>
    </row>
    <row r="1301" spans="1:28" x14ac:dyDescent="0.25">
      <c r="A1301">
        <v>4408</v>
      </c>
      <c r="B1301" t="str">
        <f>"100213000"</f>
        <v>100213000</v>
      </c>
      <c r="C1301" t="s">
        <v>4519</v>
      </c>
      <c r="D1301">
        <v>5830</v>
      </c>
      <c r="E1301" t="str">
        <f>"100213105"</f>
        <v>100213105</v>
      </c>
      <c r="F1301" t="s">
        <v>4533</v>
      </c>
      <c r="G1301" t="s">
        <v>42</v>
      </c>
      <c r="H1301" t="s">
        <v>2077</v>
      </c>
      <c r="I1301" t="s">
        <v>4534</v>
      </c>
      <c r="J1301" t="s">
        <v>3712</v>
      </c>
      <c r="K1301" t="str">
        <f>"5207495322"</f>
        <v>5207495322</v>
      </c>
      <c r="L1301" t="str">
        <f>""</f>
        <v/>
      </c>
      <c r="M1301" t="str">
        <f>"5207495400"</f>
        <v>5207495400</v>
      </c>
      <c r="N1301" t="str">
        <f>""</f>
        <v/>
      </c>
      <c r="O1301" t="s">
        <v>4535</v>
      </c>
      <c r="P1301" t="s">
        <v>4523</v>
      </c>
      <c r="R1301" t="s">
        <v>4169</v>
      </c>
      <c r="S1301" t="s">
        <v>36</v>
      </c>
      <c r="T1301" t="str">
        <f>"85749"</f>
        <v>85749</v>
      </c>
      <c r="U1301" t="str">
        <f>""</f>
        <v/>
      </c>
      <c r="V1301" t="s">
        <v>4536</v>
      </c>
      <c r="X1301" t="s">
        <v>4169</v>
      </c>
      <c r="Y1301" t="s">
        <v>36</v>
      </c>
      <c r="Z1301" t="str">
        <f>"85749"</f>
        <v>85749</v>
      </c>
      <c r="AA1301" t="str">
        <f>""</f>
        <v/>
      </c>
      <c r="AB1301" t="s">
        <v>632</v>
      </c>
    </row>
    <row r="1302" spans="1:28" x14ac:dyDescent="0.25">
      <c r="A1302">
        <v>4408</v>
      </c>
      <c r="B1302" t="str">
        <f>"100213000"</f>
        <v>100213000</v>
      </c>
      <c r="C1302" t="s">
        <v>4519</v>
      </c>
      <c r="D1302">
        <v>87466</v>
      </c>
      <c r="E1302" t="str">
        <f>"100213201"</f>
        <v>100213201</v>
      </c>
      <c r="F1302" t="s">
        <v>4537</v>
      </c>
      <c r="G1302" t="s">
        <v>42</v>
      </c>
      <c r="H1302" t="s">
        <v>367</v>
      </c>
      <c r="I1302" t="s">
        <v>4538</v>
      </c>
      <c r="J1302" t="s">
        <v>3712</v>
      </c>
      <c r="K1302" t="str">
        <f>"5207492249"</f>
        <v>5207492249</v>
      </c>
      <c r="L1302" t="str">
        <f>""</f>
        <v/>
      </c>
      <c r="M1302" t="str">
        <f>"5207495400"</f>
        <v>5207495400</v>
      </c>
      <c r="N1302" t="str">
        <f>""</f>
        <v/>
      </c>
      <c r="O1302" t="s">
        <v>4539</v>
      </c>
      <c r="P1302" t="s">
        <v>4523</v>
      </c>
      <c r="R1302" t="s">
        <v>4169</v>
      </c>
      <c r="S1302" t="s">
        <v>36</v>
      </c>
      <c r="T1302" t="str">
        <f>"85749"</f>
        <v>85749</v>
      </c>
      <c r="U1302" t="str">
        <f>""</f>
        <v/>
      </c>
      <c r="V1302" t="s">
        <v>4540</v>
      </c>
      <c r="X1302" t="s">
        <v>4169</v>
      </c>
      <c r="Y1302" t="s">
        <v>36</v>
      </c>
      <c r="Z1302" t="str">
        <f>"85749"</f>
        <v>85749</v>
      </c>
      <c r="AA1302" t="str">
        <f>""</f>
        <v/>
      </c>
      <c r="AB1302" t="s">
        <v>632</v>
      </c>
    </row>
    <row r="1303" spans="1:28" x14ac:dyDescent="0.25">
      <c r="A1303">
        <v>4409</v>
      </c>
      <c r="B1303" t="str">
        <f>"100215000"</f>
        <v>100215000</v>
      </c>
      <c r="C1303" t="s">
        <v>4541</v>
      </c>
      <c r="D1303">
        <v>0</v>
      </c>
      <c r="E1303" t="str">
        <f>""</f>
        <v/>
      </c>
      <c r="G1303" t="s">
        <v>29</v>
      </c>
      <c r="H1303" t="s">
        <v>4542</v>
      </c>
      <c r="I1303" t="s">
        <v>399</v>
      </c>
      <c r="J1303" t="s">
        <v>4543</v>
      </c>
      <c r="K1303" t="str">
        <f>"5203875618"</f>
        <v>5203875618</v>
      </c>
      <c r="L1303" t="str">
        <f>""</f>
        <v/>
      </c>
      <c r="M1303" t="str">
        <f>"5203876545"</f>
        <v>5203876545</v>
      </c>
      <c r="N1303" t="str">
        <f>""</f>
        <v/>
      </c>
      <c r="O1303" t="s">
        <v>4544</v>
      </c>
      <c r="P1303" t="s">
        <v>4545</v>
      </c>
      <c r="R1303" t="s">
        <v>4546</v>
      </c>
      <c r="S1303" t="s">
        <v>36</v>
      </c>
      <c r="T1303" t="str">
        <f>"85321"</f>
        <v>85321</v>
      </c>
      <c r="U1303" t="str">
        <f>""</f>
        <v/>
      </c>
      <c r="V1303" t="s">
        <v>4545</v>
      </c>
      <c r="X1303" t="s">
        <v>4546</v>
      </c>
      <c r="Y1303" t="s">
        <v>36</v>
      </c>
      <c r="Z1303" t="str">
        <f>"85321"</f>
        <v>85321</v>
      </c>
      <c r="AA1303" t="str">
        <f>""</f>
        <v/>
      </c>
      <c r="AB1303" t="s">
        <v>4547</v>
      </c>
    </row>
    <row r="1304" spans="1:28" x14ac:dyDescent="0.25">
      <c r="A1304">
        <v>4409</v>
      </c>
      <c r="B1304" t="str">
        <f>"100215000"</f>
        <v>100215000</v>
      </c>
      <c r="C1304" t="s">
        <v>4541</v>
      </c>
      <c r="D1304">
        <v>5831</v>
      </c>
      <c r="E1304" t="str">
        <f>"100215001"</f>
        <v>100215001</v>
      </c>
      <c r="F1304" t="s">
        <v>4548</v>
      </c>
      <c r="G1304" t="s">
        <v>42</v>
      </c>
      <c r="H1304" t="s">
        <v>4542</v>
      </c>
      <c r="I1304" t="s">
        <v>399</v>
      </c>
      <c r="J1304" t="s">
        <v>4543</v>
      </c>
      <c r="K1304" t="str">
        <f>"5203875618"</f>
        <v>5203875618</v>
      </c>
      <c r="L1304" t="str">
        <f>""</f>
        <v/>
      </c>
      <c r="M1304" t="str">
        <f>"5203876545"</f>
        <v>5203876545</v>
      </c>
      <c r="N1304" t="str">
        <f>""</f>
        <v/>
      </c>
      <c r="O1304" t="s">
        <v>4544</v>
      </c>
      <c r="P1304" t="s">
        <v>4549</v>
      </c>
      <c r="R1304" t="s">
        <v>4546</v>
      </c>
      <c r="S1304" t="s">
        <v>36</v>
      </c>
      <c r="T1304" t="str">
        <f>"85321"</f>
        <v>85321</v>
      </c>
      <c r="U1304" t="str">
        <f>""</f>
        <v/>
      </c>
      <c r="V1304" t="s">
        <v>4549</v>
      </c>
      <c r="X1304" t="s">
        <v>4546</v>
      </c>
      <c r="Y1304" t="s">
        <v>36</v>
      </c>
      <c r="Z1304" t="str">
        <f>"85321"</f>
        <v>85321</v>
      </c>
      <c r="AA1304" t="str">
        <f>""</f>
        <v/>
      </c>
      <c r="AB1304" t="s">
        <v>4547</v>
      </c>
    </row>
    <row r="1305" spans="1:28" x14ac:dyDescent="0.25">
      <c r="A1305">
        <v>4409</v>
      </c>
      <c r="B1305" t="str">
        <f>"100215000"</f>
        <v>100215000</v>
      </c>
      <c r="C1305" t="s">
        <v>4541</v>
      </c>
      <c r="D1305">
        <v>6292</v>
      </c>
      <c r="E1305" t="str">
        <f>"100215002"</f>
        <v>100215002</v>
      </c>
      <c r="F1305" t="s">
        <v>4550</v>
      </c>
      <c r="G1305" t="s">
        <v>42</v>
      </c>
      <c r="H1305" t="s">
        <v>4542</v>
      </c>
      <c r="I1305" t="s">
        <v>399</v>
      </c>
      <c r="J1305" t="s">
        <v>4543</v>
      </c>
      <c r="K1305" t="str">
        <f>"5203875618"</f>
        <v>5203875618</v>
      </c>
      <c r="L1305" t="str">
        <f>""</f>
        <v/>
      </c>
      <c r="M1305" t="str">
        <f>"5203876545"</f>
        <v>5203876545</v>
      </c>
      <c r="N1305" t="str">
        <f>""</f>
        <v/>
      </c>
      <c r="O1305" t="s">
        <v>4544</v>
      </c>
      <c r="P1305" t="s">
        <v>4551</v>
      </c>
      <c r="R1305" t="s">
        <v>4546</v>
      </c>
      <c r="S1305" t="s">
        <v>36</v>
      </c>
      <c r="T1305" t="str">
        <f>"85321"</f>
        <v>85321</v>
      </c>
      <c r="U1305" t="str">
        <f>""</f>
        <v/>
      </c>
      <c r="V1305" t="s">
        <v>4551</v>
      </c>
      <c r="X1305" t="s">
        <v>4546</v>
      </c>
      <c r="Y1305" t="s">
        <v>36</v>
      </c>
      <c r="Z1305" t="str">
        <f>"85321"</f>
        <v>85321</v>
      </c>
      <c r="AA1305" t="str">
        <f>""</f>
        <v/>
      </c>
      <c r="AB1305" t="s">
        <v>4547</v>
      </c>
    </row>
    <row r="1306" spans="1:28" x14ac:dyDescent="0.25">
      <c r="A1306">
        <v>4410</v>
      </c>
      <c r="B1306" t="str">
        <f t="shared" ref="B1306:B1313" si="216">"100216000"</f>
        <v>100216000</v>
      </c>
      <c r="C1306" t="s">
        <v>4552</v>
      </c>
      <c r="D1306">
        <v>0</v>
      </c>
      <c r="E1306" t="str">
        <f>""</f>
        <v/>
      </c>
      <c r="G1306" t="s">
        <v>29</v>
      </c>
      <c r="H1306" t="s">
        <v>752</v>
      </c>
      <c r="I1306" t="s">
        <v>4553</v>
      </c>
      <c r="J1306" t="s">
        <v>3944</v>
      </c>
      <c r="K1306" t="str">
        <f>"5202097521"</f>
        <v>5202097521</v>
      </c>
      <c r="L1306" t="str">
        <f>""</f>
        <v/>
      </c>
      <c r="M1306" t="str">
        <f>"5202097571"</f>
        <v>5202097571</v>
      </c>
      <c r="N1306" t="str">
        <f>""</f>
        <v/>
      </c>
      <c r="O1306" t="s">
        <v>4554</v>
      </c>
      <c r="P1306" t="s">
        <v>4555</v>
      </c>
      <c r="R1306" t="s">
        <v>4169</v>
      </c>
      <c r="S1306" t="s">
        <v>36</v>
      </c>
      <c r="T1306" t="str">
        <f>"85718"</f>
        <v>85718</v>
      </c>
      <c r="U1306" t="str">
        <f>""</f>
        <v/>
      </c>
      <c r="V1306" t="s">
        <v>4555</v>
      </c>
      <c r="X1306" t="s">
        <v>4169</v>
      </c>
      <c r="Y1306" t="s">
        <v>36</v>
      </c>
      <c r="Z1306" t="str">
        <f>"85718"</f>
        <v>85718</v>
      </c>
      <c r="AA1306" t="str">
        <f>""</f>
        <v/>
      </c>
      <c r="AB1306" t="s">
        <v>56</v>
      </c>
    </row>
    <row r="1307" spans="1:28" x14ac:dyDescent="0.25">
      <c r="A1307">
        <v>4410</v>
      </c>
      <c r="B1307" t="str">
        <f t="shared" si="216"/>
        <v>100216000</v>
      </c>
      <c r="C1307" t="s">
        <v>4552</v>
      </c>
      <c r="D1307">
        <v>5832</v>
      </c>
      <c r="E1307" t="str">
        <f>"100216101"</f>
        <v>100216101</v>
      </c>
      <c r="F1307" t="s">
        <v>4556</v>
      </c>
      <c r="G1307" t="s">
        <v>42</v>
      </c>
      <c r="H1307" t="s">
        <v>1404</v>
      </c>
      <c r="I1307" t="s">
        <v>4557</v>
      </c>
      <c r="J1307" t="s">
        <v>4558</v>
      </c>
      <c r="K1307" t="str">
        <f>"5202097901"</f>
        <v>5202097901</v>
      </c>
      <c r="L1307" t="str">
        <f>""</f>
        <v/>
      </c>
      <c r="M1307" t="str">
        <f>"5202097970"</f>
        <v>5202097970</v>
      </c>
      <c r="N1307" t="str">
        <f>""</f>
        <v/>
      </c>
      <c r="O1307" t="s">
        <v>4559</v>
      </c>
      <c r="P1307" t="s">
        <v>4560</v>
      </c>
      <c r="R1307" t="s">
        <v>4169</v>
      </c>
      <c r="S1307" t="s">
        <v>36</v>
      </c>
      <c r="T1307" t="str">
        <f>"85718"</f>
        <v>85718</v>
      </c>
      <c r="U1307" t="str">
        <f>""</f>
        <v/>
      </c>
      <c r="V1307" t="s">
        <v>4560</v>
      </c>
      <c r="X1307" t="s">
        <v>4169</v>
      </c>
      <c r="Y1307" t="s">
        <v>36</v>
      </c>
      <c r="Z1307" t="str">
        <f>"85718"</f>
        <v>85718</v>
      </c>
      <c r="AA1307" t="str">
        <f>""</f>
        <v/>
      </c>
      <c r="AB1307" t="s">
        <v>56</v>
      </c>
    </row>
    <row r="1308" spans="1:28" x14ac:dyDescent="0.25">
      <c r="A1308">
        <v>4410</v>
      </c>
      <c r="B1308" t="str">
        <f t="shared" si="216"/>
        <v>100216000</v>
      </c>
      <c r="C1308" t="s">
        <v>4552</v>
      </c>
      <c r="D1308">
        <v>5833</v>
      </c>
      <c r="E1308" t="str">
        <f>"100216102"</f>
        <v>100216102</v>
      </c>
      <c r="F1308" t="s">
        <v>4561</v>
      </c>
      <c r="G1308" t="s">
        <v>42</v>
      </c>
      <c r="H1308" t="s">
        <v>1995</v>
      </c>
      <c r="I1308" t="s">
        <v>4562</v>
      </c>
      <c r="J1308" t="s">
        <v>295</v>
      </c>
      <c r="K1308" t="str">
        <f>"5202097801"</f>
        <v>5202097801</v>
      </c>
      <c r="L1308" t="str">
        <f>""</f>
        <v/>
      </c>
      <c r="M1308" t="str">
        <f>"5202097870"</f>
        <v>5202097870</v>
      </c>
      <c r="N1308" t="str">
        <f>""</f>
        <v/>
      </c>
      <c r="O1308" t="s">
        <v>4563</v>
      </c>
      <c r="P1308" t="s">
        <v>4564</v>
      </c>
      <c r="R1308" t="s">
        <v>4169</v>
      </c>
      <c r="S1308" t="s">
        <v>36</v>
      </c>
      <c r="T1308" t="str">
        <f>"85718"</f>
        <v>85718</v>
      </c>
      <c r="U1308" t="str">
        <f>""</f>
        <v/>
      </c>
      <c r="V1308" t="s">
        <v>4564</v>
      </c>
      <c r="X1308" t="s">
        <v>4169</v>
      </c>
      <c r="Y1308" t="s">
        <v>36</v>
      </c>
      <c r="Z1308" t="str">
        <f>"85718"</f>
        <v>85718</v>
      </c>
      <c r="AA1308" t="str">
        <f>""</f>
        <v/>
      </c>
      <c r="AB1308" t="s">
        <v>56</v>
      </c>
    </row>
    <row r="1309" spans="1:28" x14ac:dyDescent="0.25">
      <c r="A1309">
        <v>4410</v>
      </c>
      <c r="B1309" t="str">
        <f t="shared" si="216"/>
        <v>100216000</v>
      </c>
      <c r="C1309" t="s">
        <v>4552</v>
      </c>
      <c r="D1309">
        <v>5834</v>
      </c>
      <c r="E1309" t="str">
        <f>"100216103"</f>
        <v>100216103</v>
      </c>
      <c r="F1309" t="s">
        <v>4565</v>
      </c>
      <c r="G1309" t="s">
        <v>42</v>
      </c>
      <c r="H1309" t="s">
        <v>586</v>
      </c>
      <c r="I1309" t="s">
        <v>4566</v>
      </c>
      <c r="J1309" t="s">
        <v>4558</v>
      </c>
      <c r="K1309" t="str">
        <f>"5202098201"</f>
        <v>5202098201</v>
      </c>
      <c r="L1309" t="str">
        <f>""</f>
        <v/>
      </c>
      <c r="M1309" t="str">
        <f>"5202098275"</f>
        <v>5202098275</v>
      </c>
      <c r="N1309" t="str">
        <f>""</f>
        <v/>
      </c>
      <c r="O1309" t="s">
        <v>4567</v>
      </c>
      <c r="P1309" t="s">
        <v>4568</v>
      </c>
      <c r="R1309" t="s">
        <v>4169</v>
      </c>
      <c r="S1309" t="s">
        <v>36</v>
      </c>
      <c r="T1309" t="str">
        <f>"85718"</f>
        <v>85718</v>
      </c>
      <c r="U1309" t="str">
        <f>""</f>
        <v/>
      </c>
      <c r="V1309" t="s">
        <v>4568</v>
      </c>
      <c r="X1309" t="s">
        <v>4169</v>
      </c>
      <c r="Y1309" t="s">
        <v>36</v>
      </c>
      <c r="Z1309" t="str">
        <f>"85718"</f>
        <v>85718</v>
      </c>
      <c r="AA1309" t="str">
        <f>""</f>
        <v/>
      </c>
      <c r="AB1309" t="s">
        <v>56</v>
      </c>
    </row>
    <row r="1310" spans="1:28" x14ac:dyDescent="0.25">
      <c r="A1310">
        <v>4410</v>
      </c>
      <c r="B1310" t="str">
        <f t="shared" si="216"/>
        <v>100216000</v>
      </c>
      <c r="C1310" t="s">
        <v>4552</v>
      </c>
      <c r="D1310">
        <v>5835</v>
      </c>
      <c r="E1310" t="str">
        <f>"100216104"</f>
        <v>100216104</v>
      </c>
      <c r="F1310" t="s">
        <v>4569</v>
      </c>
      <c r="G1310" t="s">
        <v>42</v>
      </c>
      <c r="H1310" t="s">
        <v>4570</v>
      </c>
      <c r="I1310" t="s">
        <v>4571</v>
      </c>
      <c r="J1310" t="s">
        <v>4558</v>
      </c>
      <c r="K1310" t="str">
        <f>"5202097701"</f>
        <v>5202097701</v>
      </c>
      <c r="L1310" t="str">
        <f>""</f>
        <v/>
      </c>
      <c r="M1310" t="str">
        <f>"5202097770"</f>
        <v>5202097770</v>
      </c>
      <c r="N1310" t="str">
        <f>""</f>
        <v/>
      </c>
      <c r="O1310" t="s">
        <v>4572</v>
      </c>
      <c r="P1310" t="s">
        <v>4573</v>
      </c>
      <c r="R1310" t="s">
        <v>4169</v>
      </c>
      <c r="S1310" t="s">
        <v>36</v>
      </c>
      <c r="T1310" t="str">
        <f>"85750"</f>
        <v>85750</v>
      </c>
      <c r="U1310" t="str">
        <f>""</f>
        <v/>
      </c>
      <c r="V1310" t="s">
        <v>4573</v>
      </c>
      <c r="X1310" t="s">
        <v>4169</v>
      </c>
      <c r="Y1310" t="s">
        <v>36</v>
      </c>
      <c r="Z1310" t="str">
        <f>"85750"</f>
        <v>85750</v>
      </c>
      <c r="AA1310" t="str">
        <f>""</f>
        <v/>
      </c>
      <c r="AB1310" t="s">
        <v>56</v>
      </c>
    </row>
    <row r="1311" spans="1:28" x14ac:dyDescent="0.25">
      <c r="A1311">
        <v>4410</v>
      </c>
      <c r="B1311" t="str">
        <f t="shared" si="216"/>
        <v>100216000</v>
      </c>
      <c r="C1311" t="s">
        <v>4552</v>
      </c>
      <c r="D1311">
        <v>5837</v>
      </c>
      <c r="E1311" t="str">
        <f>"100216107"</f>
        <v>100216107</v>
      </c>
      <c r="F1311" t="s">
        <v>4574</v>
      </c>
      <c r="G1311" t="s">
        <v>42</v>
      </c>
      <c r="H1311" t="s">
        <v>4575</v>
      </c>
      <c r="I1311" t="s">
        <v>4576</v>
      </c>
      <c r="J1311" t="s">
        <v>295</v>
      </c>
      <c r="K1311" t="str">
        <f>"5202098102"</f>
        <v>5202098102</v>
      </c>
      <c r="L1311" t="str">
        <f>""</f>
        <v/>
      </c>
      <c r="M1311" t="str">
        <f>"5202098170"</f>
        <v>5202098170</v>
      </c>
      <c r="N1311" t="str">
        <f>""</f>
        <v/>
      </c>
      <c r="O1311" t="s">
        <v>4577</v>
      </c>
      <c r="P1311" t="s">
        <v>4578</v>
      </c>
      <c r="R1311" t="s">
        <v>4169</v>
      </c>
      <c r="S1311" t="s">
        <v>36</v>
      </c>
      <c r="T1311" t="str">
        <f>"85750"</f>
        <v>85750</v>
      </c>
      <c r="U1311" t="str">
        <f>""</f>
        <v/>
      </c>
      <c r="V1311" t="s">
        <v>4578</v>
      </c>
      <c r="X1311" t="s">
        <v>4169</v>
      </c>
      <c r="Y1311" t="s">
        <v>36</v>
      </c>
      <c r="Z1311" t="str">
        <f>"85750"</f>
        <v>85750</v>
      </c>
      <c r="AA1311" t="str">
        <f>""</f>
        <v/>
      </c>
      <c r="AB1311" t="s">
        <v>56</v>
      </c>
    </row>
    <row r="1312" spans="1:28" x14ac:dyDescent="0.25">
      <c r="A1312">
        <v>4410</v>
      </c>
      <c r="B1312" t="str">
        <f t="shared" si="216"/>
        <v>100216000</v>
      </c>
      <c r="C1312" t="s">
        <v>4552</v>
      </c>
      <c r="D1312">
        <v>5838</v>
      </c>
      <c r="E1312" t="str">
        <f>"100216108"</f>
        <v>100216108</v>
      </c>
      <c r="F1312" t="s">
        <v>4579</v>
      </c>
      <c r="G1312" t="s">
        <v>42</v>
      </c>
      <c r="H1312" t="s">
        <v>1995</v>
      </c>
      <c r="I1312" t="s">
        <v>4580</v>
      </c>
      <c r="J1312" t="s">
        <v>4581</v>
      </c>
      <c r="K1312" t="str">
        <f>"5202098002"</f>
        <v>5202098002</v>
      </c>
      <c r="L1312" t="str">
        <f>""</f>
        <v/>
      </c>
      <c r="M1312" t="str">
        <f>"5202098070"</f>
        <v>5202098070</v>
      </c>
      <c r="N1312" t="str">
        <f>""</f>
        <v/>
      </c>
      <c r="O1312" t="s">
        <v>4582</v>
      </c>
      <c r="P1312" t="s">
        <v>4583</v>
      </c>
      <c r="R1312" t="s">
        <v>4169</v>
      </c>
      <c r="S1312" t="s">
        <v>36</v>
      </c>
      <c r="T1312" t="str">
        <f>"85750"</f>
        <v>85750</v>
      </c>
      <c r="U1312" t="str">
        <f>""</f>
        <v/>
      </c>
      <c r="V1312" t="s">
        <v>4583</v>
      </c>
      <c r="X1312" t="s">
        <v>4169</v>
      </c>
      <c r="Y1312" t="s">
        <v>36</v>
      </c>
      <c r="Z1312" t="str">
        <f>"85750"</f>
        <v>85750</v>
      </c>
      <c r="AA1312" t="str">
        <f>""</f>
        <v/>
      </c>
      <c r="AB1312" t="s">
        <v>56</v>
      </c>
    </row>
    <row r="1313" spans="1:28" x14ac:dyDescent="0.25">
      <c r="A1313">
        <v>4410</v>
      </c>
      <c r="B1313" t="str">
        <f t="shared" si="216"/>
        <v>100216000</v>
      </c>
      <c r="C1313" t="s">
        <v>4552</v>
      </c>
      <c r="D1313">
        <v>5839</v>
      </c>
      <c r="E1313" t="str">
        <f>"100216206"</f>
        <v>100216206</v>
      </c>
      <c r="F1313" t="s">
        <v>4584</v>
      </c>
      <c r="G1313" t="s">
        <v>42</v>
      </c>
      <c r="H1313" t="s">
        <v>210</v>
      </c>
      <c r="I1313" t="s">
        <v>4585</v>
      </c>
      <c r="J1313" t="s">
        <v>295</v>
      </c>
      <c r="K1313" t="str">
        <f>"5202098302"</f>
        <v>5202098302</v>
      </c>
      <c r="L1313" t="str">
        <f>""</f>
        <v/>
      </c>
      <c r="M1313" t="str">
        <f>"5202098520"</f>
        <v>5202098520</v>
      </c>
      <c r="N1313" t="str">
        <f>""</f>
        <v/>
      </c>
      <c r="O1313" t="s">
        <v>4586</v>
      </c>
      <c r="P1313" t="s">
        <v>4587</v>
      </c>
      <c r="R1313" t="s">
        <v>4169</v>
      </c>
      <c r="S1313" t="s">
        <v>36</v>
      </c>
      <c r="T1313" t="str">
        <f>"85718"</f>
        <v>85718</v>
      </c>
      <c r="U1313" t="str">
        <f>""</f>
        <v/>
      </c>
      <c r="V1313" t="s">
        <v>4587</v>
      </c>
      <c r="X1313" t="s">
        <v>4169</v>
      </c>
      <c r="Y1313" t="s">
        <v>36</v>
      </c>
      <c r="Z1313" t="str">
        <f>"85718"</f>
        <v>85718</v>
      </c>
      <c r="AA1313" t="str">
        <f>""</f>
        <v/>
      </c>
      <c r="AB1313" t="s">
        <v>56</v>
      </c>
    </row>
    <row r="1314" spans="1:28" x14ac:dyDescent="0.25">
      <c r="A1314">
        <v>4411</v>
      </c>
      <c r="B1314" t="str">
        <f t="shared" ref="B1314:B1322" si="217">"100230000"</f>
        <v>100230000</v>
      </c>
      <c r="C1314" t="s">
        <v>4588</v>
      </c>
      <c r="D1314">
        <v>0</v>
      </c>
      <c r="E1314" t="str">
        <f>""</f>
        <v/>
      </c>
      <c r="G1314" t="s">
        <v>29</v>
      </c>
      <c r="H1314" t="s">
        <v>4589</v>
      </c>
      <c r="I1314" t="s">
        <v>4590</v>
      </c>
      <c r="J1314" t="s">
        <v>4591</v>
      </c>
      <c r="K1314" t="str">
        <f t="shared" ref="K1314:K1322" si="218">"5206253502"</f>
        <v>5206253502</v>
      </c>
      <c r="L1314" t="str">
        <f t="shared" ref="L1314:L1322" si="219">"1013"</f>
        <v>1013</v>
      </c>
      <c r="M1314" t="str">
        <f t="shared" ref="M1314:M1321" si="220">"5206254609"</f>
        <v>5206254609</v>
      </c>
      <c r="N1314" t="str">
        <f>""</f>
        <v/>
      </c>
      <c r="O1314" t="s">
        <v>4592</v>
      </c>
      <c r="P1314" t="s">
        <v>4593</v>
      </c>
      <c r="R1314" t="s">
        <v>4594</v>
      </c>
      <c r="S1314" t="s">
        <v>36</v>
      </c>
      <c r="T1314" t="str">
        <f t="shared" ref="T1314:T1322" si="221">"85629"</f>
        <v>85629</v>
      </c>
      <c r="U1314" t="str">
        <f>"9522"</f>
        <v>9522</v>
      </c>
      <c r="V1314" t="s">
        <v>4593</v>
      </c>
      <c r="X1314" t="s">
        <v>4594</v>
      </c>
      <c r="Y1314" t="s">
        <v>36</v>
      </c>
      <c r="Z1314" t="str">
        <f>"85629"</f>
        <v>85629</v>
      </c>
      <c r="AA1314" t="str">
        <f>"9522"</f>
        <v>9522</v>
      </c>
      <c r="AB1314" t="s">
        <v>86</v>
      </c>
    </row>
    <row r="1315" spans="1:28" x14ac:dyDescent="0.25">
      <c r="A1315">
        <v>4411</v>
      </c>
      <c r="B1315" t="str">
        <f t="shared" si="217"/>
        <v>100230000</v>
      </c>
      <c r="C1315" t="s">
        <v>4588</v>
      </c>
      <c r="D1315">
        <v>5840</v>
      </c>
      <c r="E1315" t="str">
        <f>"100230101"</f>
        <v>100230101</v>
      </c>
      <c r="F1315" t="s">
        <v>4595</v>
      </c>
      <c r="G1315" t="s">
        <v>42</v>
      </c>
      <c r="H1315" t="s">
        <v>4589</v>
      </c>
      <c r="I1315" t="s">
        <v>4590</v>
      </c>
      <c r="J1315" t="s">
        <v>4596</v>
      </c>
      <c r="K1315" t="str">
        <f t="shared" si="218"/>
        <v>5206253502</v>
      </c>
      <c r="L1315" t="str">
        <f t="shared" si="219"/>
        <v>1013</v>
      </c>
      <c r="M1315" t="str">
        <f t="shared" si="220"/>
        <v>5206254609</v>
      </c>
      <c r="N1315" t="str">
        <f>""</f>
        <v/>
      </c>
      <c r="O1315" t="s">
        <v>4592</v>
      </c>
      <c r="P1315" t="s">
        <v>4593</v>
      </c>
      <c r="Q1315" t="s">
        <v>4597</v>
      </c>
      <c r="R1315" t="s">
        <v>4594</v>
      </c>
      <c r="S1315" t="s">
        <v>36</v>
      </c>
      <c r="T1315" t="str">
        <f t="shared" si="221"/>
        <v>85629</v>
      </c>
      <c r="U1315" t="str">
        <f>"9522"</f>
        <v>9522</v>
      </c>
      <c r="V1315" t="s">
        <v>4593</v>
      </c>
      <c r="W1315" t="s">
        <v>4597</v>
      </c>
      <c r="X1315" t="s">
        <v>4594</v>
      </c>
      <c r="Y1315" t="s">
        <v>36</v>
      </c>
      <c r="Z1315" t="str">
        <f>"85629"</f>
        <v>85629</v>
      </c>
      <c r="AA1315" t="str">
        <f>"9522"</f>
        <v>9522</v>
      </c>
      <c r="AB1315" t="s">
        <v>86</v>
      </c>
    </row>
    <row r="1316" spans="1:28" x14ac:dyDescent="0.25">
      <c r="A1316">
        <v>4411</v>
      </c>
      <c r="B1316" t="str">
        <f t="shared" si="217"/>
        <v>100230000</v>
      </c>
      <c r="C1316" t="s">
        <v>4588</v>
      </c>
      <c r="D1316">
        <v>5841</v>
      </c>
      <c r="E1316" t="str">
        <f>"100230102"</f>
        <v>100230102</v>
      </c>
      <c r="F1316" t="s">
        <v>4598</v>
      </c>
      <c r="G1316" t="s">
        <v>42</v>
      </c>
      <c r="H1316" t="s">
        <v>4589</v>
      </c>
      <c r="I1316" t="s">
        <v>4590</v>
      </c>
      <c r="J1316" t="s">
        <v>4596</v>
      </c>
      <c r="K1316" t="str">
        <f t="shared" si="218"/>
        <v>5206253502</v>
      </c>
      <c r="L1316" t="str">
        <f t="shared" si="219"/>
        <v>1013</v>
      </c>
      <c r="M1316" t="str">
        <f t="shared" si="220"/>
        <v>5206254609</v>
      </c>
      <c r="N1316" t="str">
        <f>""</f>
        <v/>
      </c>
      <c r="O1316" t="s">
        <v>4592</v>
      </c>
      <c r="P1316" t="s">
        <v>4593</v>
      </c>
      <c r="R1316" t="s">
        <v>4594</v>
      </c>
      <c r="S1316" t="s">
        <v>36</v>
      </c>
      <c r="T1316" t="str">
        <f t="shared" si="221"/>
        <v>85629</v>
      </c>
      <c r="U1316" t="str">
        <f>"9522"</f>
        <v>9522</v>
      </c>
      <c r="V1316" t="s">
        <v>4599</v>
      </c>
      <c r="X1316" t="s">
        <v>2564</v>
      </c>
      <c r="Y1316" t="s">
        <v>36</v>
      </c>
      <c r="Z1316" t="str">
        <f>"85645"</f>
        <v>85645</v>
      </c>
      <c r="AA1316" t="str">
        <f>""</f>
        <v/>
      </c>
      <c r="AB1316" t="s">
        <v>86</v>
      </c>
    </row>
    <row r="1317" spans="1:28" x14ac:dyDescent="0.25">
      <c r="A1317">
        <v>4411</v>
      </c>
      <c r="B1317" t="str">
        <f t="shared" si="217"/>
        <v>100230000</v>
      </c>
      <c r="C1317" t="s">
        <v>4588</v>
      </c>
      <c r="D1317">
        <v>5842</v>
      </c>
      <c r="E1317" t="str">
        <f>"100230103"</f>
        <v>100230103</v>
      </c>
      <c r="F1317" t="s">
        <v>4600</v>
      </c>
      <c r="G1317" t="s">
        <v>42</v>
      </c>
      <c r="H1317" t="s">
        <v>4589</v>
      </c>
      <c r="I1317" t="s">
        <v>4590</v>
      </c>
      <c r="J1317" t="s">
        <v>4596</v>
      </c>
      <c r="K1317" t="str">
        <f t="shared" si="218"/>
        <v>5206253502</v>
      </c>
      <c r="L1317" t="str">
        <f t="shared" si="219"/>
        <v>1013</v>
      </c>
      <c r="M1317" t="str">
        <f t="shared" si="220"/>
        <v>5206254609</v>
      </c>
      <c r="N1317" t="str">
        <f>""</f>
        <v/>
      </c>
      <c r="O1317" t="s">
        <v>4592</v>
      </c>
      <c r="P1317" t="s">
        <v>4593</v>
      </c>
      <c r="Q1317" t="s">
        <v>4601</v>
      </c>
      <c r="R1317" t="s">
        <v>4594</v>
      </c>
      <c r="S1317" t="s">
        <v>36</v>
      </c>
      <c r="T1317" t="str">
        <f t="shared" si="221"/>
        <v>85629</v>
      </c>
      <c r="U1317" t="str">
        <f>"9522"</f>
        <v>9522</v>
      </c>
      <c r="V1317" t="s">
        <v>4593</v>
      </c>
      <c r="W1317" t="s">
        <v>4601</v>
      </c>
      <c r="X1317" t="s">
        <v>4594</v>
      </c>
      <c r="Y1317" t="s">
        <v>36</v>
      </c>
      <c r="Z1317" t="str">
        <f t="shared" ref="Z1317:Z1322" si="222">"85629"</f>
        <v>85629</v>
      </c>
      <c r="AA1317" t="str">
        <f>"9522"</f>
        <v>9522</v>
      </c>
      <c r="AB1317" t="s">
        <v>86</v>
      </c>
    </row>
    <row r="1318" spans="1:28" x14ac:dyDescent="0.25">
      <c r="A1318">
        <v>4411</v>
      </c>
      <c r="B1318" t="str">
        <f t="shared" si="217"/>
        <v>100230000</v>
      </c>
      <c r="C1318" t="s">
        <v>4588</v>
      </c>
      <c r="D1318">
        <v>5843</v>
      </c>
      <c r="E1318" t="str">
        <f>"100230204"</f>
        <v>100230204</v>
      </c>
      <c r="F1318" t="s">
        <v>4602</v>
      </c>
      <c r="G1318" t="s">
        <v>42</v>
      </c>
      <c r="H1318" t="s">
        <v>4589</v>
      </c>
      <c r="I1318" t="s">
        <v>4590</v>
      </c>
      <c r="J1318" t="s">
        <v>4596</v>
      </c>
      <c r="K1318" t="str">
        <f t="shared" si="218"/>
        <v>5206253502</v>
      </c>
      <c r="L1318" t="str">
        <f t="shared" si="219"/>
        <v>1013</v>
      </c>
      <c r="M1318" t="str">
        <f t="shared" si="220"/>
        <v>5206254609</v>
      </c>
      <c r="N1318" t="str">
        <f>""</f>
        <v/>
      </c>
      <c r="O1318" t="s">
        <v>4592</v>
      </c>
      <c r="P1318" t="s">
        <v>4593</v>
      </c>
      <c r="R1318" t="s">
        <v>4594</v>
      </c>
      <c r="S1318" t="s">
        <v>36</v>
      </c>
      <c r="T1318" t="str">
        <f t="shared" si="221"/>
        <v>85629</v>
      </c>
      <c r="U1318" t="str">
        <f>"9522"</f>
        <v>9522</v>
      </c>
      <c r="V1318" t="s">
        <v>4593</v>
      </c>
      <c r="X1318" t="s">
        <v>4594</v>
      </c>
      <c r="Y1318" t="s">
        <v>36</v>
      </c>
      <c r="Z1318" t="str">
        <f t="shared" si="222"/>
        <v>85629</v>
      </c>
      <c r="AA1318" t="str">
        <f>"9522"</f>
        <v>9522</v>
      </c>
      <c r="AB1318" t="s">
        <v>86</v>
      </c>
    </row>
    <row r="1319" spans="1:28" x14ac:dyDescent="0.25">
      <c r="A1319">
        <v>4411</v>
      </c>
      <c r="B1319" t="str">
        <f t="shared" si="217"/>
        <v>100230000</v>
      </c>
      <c r="C1319" t="s">
        <v>4588</v>
      </c>
      <c r="D1319">
        <v>88387</v>
      </c>
      <c r="E1319" t="str">
        <f>"100230106"</f>
        <v>100230106</v>
      </c>
      <c r="F1319" t="s">
        <v>4603</v>
      </c>
      <c r="G1319" t="s">
        <v>42</v>
      </c>
      <c r="H1319" t="s">
        <v>4589</v>
      </c>
      <c r="I1319" t="s">
        <v>4590</v>
      </c>
      <c r="J1319" t="s">
        <v>4596</v>
      </c>
      <c r="K1319" t="str">
        <f t="shared" si="218"/>
        <v>5206253502</v>
      </c>
      <c r="L1319" t="str">
        <f t="shared" si="219"/>
        <v>1013</v>
      </c>
      <c r="M1319" t="str">
        <f t="shared" si="220"/>
        <v>5206254609</v>
      </c>
      <c r="N1319" t="str">
        <f>""</f>
        <v/>
      </c>
      <c r="O1319" t="s">
        <v>4592</v>
      </c>
      <c r="P1319" t="s">
        <v>4593</v>
      </c>
      <c r="R1319" t="s">
        <v>4594</v>
      </c>
      <c r="S1319" t="s">
        <v>36</v>
      </c>
      <c r="T1319" t="str">
        <f t="shared" si="221"/>
        <v>85629</v>
      </c>
      <c r="U1319" t="str">
        <f>""</f>
        <v/>
      </c>
      <c r="V1319" t="s">
        <v>4604</v>
      </c>
      <c r="X1319" t="s">
        <v>4594</v>
      </c>
      <c r="Y1319" t="s">
        <v>36</v>
      </c>
      <c r="Z1319" t="str">
        <f t="shared" si="222"/>
        <v>85629</v>
      </c>
      <c r="AA1319" t="str">
        <f>""</f>
        <v/>
      </c>
      <c r="AB1319" t="s">
        <v>86</v>
      </c>
    </row>
    <row r="1320" spans="1:28" x14ac:dyDescent="0.25">
      <c r="A1320">
        <v>4411</v>
      </c>
      <c r="B1320" t="str">
        <f t="shared" si="217"/>
        <v>100230000</v>
      </c>
      <c r="C1320" t="s">
        <v>4588</v>
      </c>
      <c r="D1320">
        <v>90824</v>
      </c>
      <c r="E1320" t="str">
        <f>"100230205"</f>
        <v>100230205</v>
      </c>
      <c r="F1320" t="s">
        <v>4605</v>
      </c>
      <c r="G1320" t="s">
        <v>42</v>
      </c>
      <c r="H1320" t="s">
        <v>4589</v>
      </c>
      <c r="I1320" t="s">
        <v>4590</v>
      </c>
      <c r="J1320" t="s">
        <v>4596</v>
      </c>
      <c r="K1320" t="str">
        <f t="shared" si="218"/>
        <v>5206253502</v>
      </c>
      <c r="L1320" t="str">
        <f t="shared" si="219"/>
        <v>1013</v>
      </c>
      <c r="M1320" t="str">
        <f t="shared" si="220"/>
        <v>5206254609</v>
      </c>
      <c r="N1320" t="str">
        <f>""</f>
        <v/>
      </c>
      <c r="O1320" t="s">
        <v>4592</v>
      </c>
      <c r="P1320" t="s">
        <v>4593</v>
      </c>
      <c r="R1320" t="s">
        <v>4594</v>
      </c>
      <c r="S1320" t="s">
        <v>36</v>
      </c>
      <c r="T1320" t="str">
        <f t="shared" si="221"/>
        <v>85629</v>
      </c>
      <c r="U1320" t="str">
        <f>"9522"</f>
        <v>9522</v>
      </c>
      <c r="V1320" t="s">
        <v>4606</v>
      </c>
      <c r="X1320" t="s">
        <v>4594</v>
      </c>
      <c r="Y1320" t="s">
        <v>36</v>
      </c>
      <c r="Z1320" t="str">
        <f t="shared" si="222"/>
        <v>85629</v>
      </c>
      <c r="AA1320" t="str">
        <f>"9522"</f>
        <v>9522</v>
      </c>
      <c r="AB1320" t="s">
        <v>86</v>
      </c>
    </row>
    <row r="1321" spans="1:28" x14ac:dyDescent="0.25">
      <c r="A1321">
        <v>4411</v>
      </c>
      <c r="B1321" t="str">
        <f t="shared" si="217"/>
        <v>100230000</v>
      </c>
      <c r="C1321" t="s">
        <v>4588</v>
      </c>
      <c r="D1321">
        <v>91338</v>
      </c>
      <c r="E1321" t="str">
        <f>"100230104"</f>
        <v>100230104</v>
      </c>
      <c r="F1321" t="s">
        <v>4607</v>
      </c>
      <c r="G1321" t="s">
        <v>42</v>
      </c>
      <c r="H1321" t="s">
        <v>4589</v>
      </c>
      <c r="I1321" t="s">
        <v>4590</v>
      </c>
      <c r="J1321" t="s">
        <v>4596</v>
      </c>
      <c r="K1321" t="str">
        <f t="shared" si="218"/>
        <v>5206253502</v>
      </c>
      <c r="L1321" t="str">
        <f t="shared" si="219"/>
        <v>1013</v>
      </c>
      <c r="M1321" t="str">
        <f t="shared" si="220"/>
        <v>5206254609</v>
      </c>
      <c r="N1321" t="str">
        <f>"0000"</f>
        <v>0000</v>
      </c>
      <c r="O1321" t="s">
        <v>4592</v>
      </c>
      <c r="P1321" t="s">
        <v>4593</v>
      </c>
      <c r="R1321" t="s">
        <v>4594</v>
      </c>
      <c r="S1321" t="s">
        <v>36</v>
      </c>
      <c r="T1321" t="str">
        <f t="shared" si="221"/>
        <v>85629</v>
      </c>
      <c r="U1321" t="str">
        <f>""</f>
        <v/>
      </c>
      <c r="V1321" t="s">
        <v>4608</v>
      </c>
      <c r="X1321" t="s">
        <v>4594</v>
      </c>
      <c r="Y1321" t="s">
        <v>36</v>
      </c>
      <c r="Z1321" t="str">
        <f t="shared" si="222"/>
        <v>85629</v>
      </c>
      <c r="AA1321" t="str">
        <f>""</f>
        <v/>
      </c>
      <c r="AB1321" t="s">
        <v>86</v>
      </c>
    </row>
    <row r="1322" spans="1:28" x14ac:dyDescent="0.25">
      <c r="A1322">
        <v>4411</v>
      </c>
      <c r="B1322" t="str">
        <f t="shared" si="217"/>
        <v>100230000</v>
      </c>
      <c r="C1322" t="s">
        <v>4588</v>
      </c>
      <c r="D1322">
        <v>948236</v>
      </c>
      <c r="E1322" t="str">
        <f>"100230108"</f>
        <v>100230108</v>
      </c>
      <c r="F1322" t="s">
        <v>4609</v>
      </c>
      <c r="G1322" t="s">
        <v>42</v>
      </c>
      <c r="H1322" t="s">
        <v>4589</v>
      </c>
      <c r="I1322" t="s">
        <v>4590</v>
      </c>
      <c r="J1322" t="s">
        <v>4596</v>
      </c>
      <c r="K1322" t="str">
        <f t="shared" si="218"/>
        <v>5206253502</v>
      </c>
      <c r="L1322" t="str">
        <f t="shared" si="219"/>
        <v>1013</v>
      </c>
      <c r="M1322" t="str">
        <f>""</f>
        <v/>
      </c>
      <c r="N1322" t="str">
        <f>""</f>
        <v/>
      </c>
      <c r="O1322" t="s">
        <v>4592</v>
      </c>
      <c r="P1322" t="s">
        <v>4593</v>
      </c>
      <c r="R1322" t="s">
        <v>4594</v>
      </c>
      <c r="S1322" t="s">
        <v>36</v>
      </c>
      <c r="T1322" t="str">
        <f t="shared" si="221"/>
        <v>85629</v>
      </c>
      <c r="U1322" t="str">
        <f>""</f>
        <v/>
      </c>
      <c r="V1322" t="s">
        <v>4610</v>
      </c>
      <c r="X1322" t="s">
        <v>4594</v>
      </c>
      <c r="Y1322" t="s">
        <v>36</v>
      </c>
      <c r="Z1322" t="str">
        <f t="shared" si="222"/>
        <v>85629</v>
      </c>
      <c r="AA1322" t="str">
        <f>""</f>
        <v/>
      </c>
      <c r="AB1322" t="s">
        <v>86</v>
      </c>
    </row>
    <row r="1323" spans="1:28" x14ac:dyDescent="0.25">
      <c r="A1323">
        <v>4412</v>
      </c>
      <c r="B1323" t="str">
        <f t="shared" ref="B1323:B1329" si="223">"100240000"</f>
        <v>100240000</v>
      </c>
      <c r="C1323" t="s">
        <v>4611</v>
      </c>
      <c r="D1323">
        <v>0</v>
      </c>
      <c r="E1323" t="str">
        <f>""</f>
        <v/>
      </c>
      <c r="G1323" t="s">
        <v>29</v>
      </c>
      <c r="H1323" t="s">
        <v>4612</v>
      </c>
      <c r="I1323" t="s">
        <v>4613</v>
      </c>
      <c r="J1323" t="s">
        <v>3361</v>
      </c>
      <c r="K1323" t="str">
        <f>"5207191200"</f>
        <v>5207191200</v>
      </c>
      <c r="L1323" t="str">
        <f>"1012"</f>
        <v>1012</v>
      </c>
      <c r="M1323" t="str">
        <f t="shared" ref="M1323:M1329" si="224">"5203835441"</f>
        <v>5203835441</v>
      </c>
      <c r="N1323" t="str">
        <f>""</f>
        <v/>
      </c>
      <c r="O1323" t="s">
        <v>4614</v>
      </c>
      <c r="P1323" t="s">
        <v>4615</v>
      </c>
      <c r="R1323" t="s">
        <v>4616</v>
      </c>
      <c r="S1323" t="s">
        <v>36</v>
      </c>
      <c r="T1323" t="str">
        <f t="shared" ref="T1323:T1329" si="225">"85634"</f>
        <v>85634</v>
      </c>
      <c r="U1323" t="str">
        <f>""</f>
        <v/>
      </c>
      <c r="V1323" t="s">
        <v>4617</v>
      </c>
      <c r="X1323" t="s">
        <v>4616</v>
      </c>
      <c r="Y1323" t="s">
        <v>36</v>
      </c>
      <c r="Z1323" t="str">
        <f>"85634"</f>
        <v>85634</v>
      </c>
      <c r="AA1323" t="str">
        <f>""</f>
        <v/>
      </c>
      <c r="AB1323" t="s">
        <v>2345</v>
      </c>
    </row>
    <row r="1324" spans="1:28" x14ac:dyDescent="0.25">
      <c r="A1324">
        <v>4412</v>
      </c>
      <c r="B1324" t="str">
        <f t="shared" si="223"/>
        <v>100240000</v>
      </c>
      <c r="C1324" t="s">
        <v>4611</v>
      </c>
      <c r="D1324">
        <v>5844</v>
      </c>
      <c r="E1324" t="str">
        <f>"100240101"</f>
        <v>100240101</v>
      </c>
      <c r="F1324" t="s">
        <v>4618</v>
      </c>
      <c r="G1324" t="s">
        <v>42</v>
      </c>
      <c r="H1324" t="s">
        <v>4619</v>
      </c>
      <c r="I1324" t="s">
        <v>4620</v>
      </c>
      <c r="J1324" t="s">
        <v>4621</v>
      </c>
      <c r="K1324" t="str">
        <f t="shared" ref="K1324:K1329" si="226">"5207191230"</f>
        <v>5207191230</v>
      </c>
      <c r="L1324" t="str">
        <f t="shared" ref="L1324:L1329" si="227">"3700"</f>
        <v>3700</v>
      </c>
      <c r="M1324" t="str">
        <f t="shared" si="224"/>
        <v>5203835441</v>
      </c>
      <c r="N1324" t="str">
        <f>""</f>
        <v/>
      </c>
      <c r="O1324" t="s">
        <v>4622</v>
      </c>
      <c r="P1324" t="s">
        <v>4615</v>
      </c>
      <c r="R1324" t="s">
        <v>4616</v>
      </c>
      <c r="S1324" t="s">
        <v>36</v>
      </c>
      <c r="T1324" t="str">
        <f t="shared" si="225"/>
        <v>85634</v>
      </c>
      <c r="U1324" t="str">
        <f>""</f>
        <v/>
      </c>
      <c r="V1324" t="s">
        <v>4623</v>
      </c>
      <c r="X1324" t="s">
        <v>4616</v>
      </c>
      <c r="Y1324" t="s">
        <v>36</v>
      </c>
      <c r="Z1324" t="str">
        <f>"85634"</f>
        <v>85634</v>
      </c>
      <c r="AA1324" t="str">
        <f>""</f>
        <v/>
      </c>
      <c r="AB1324" t="s">
        <v>2345</v>
      </c>
    </row>
    <row r="1325" spans="1:28" x14ac:dyDescent="0.25">
      <c r="A1325">
        <v>4412</v>
      </c>
      <c r="B1325" t="str">
        <f t="shared" si="223"/>
        <v>100240000</v>
      </c>
      <c r="C1325" t="s">
        <v>4611</v>
      </c>
      <c r="D1325">
        <v>5846</v>
      </c>
      <c r="E1325" t="str">
        <f>"100240103"</f>
        <v>100240103</v>
      </c>
      <c r="F1325" t="s">
        <v>4624</v>
      </c>
      <c r="G1325" t="s">
        <v>42</v>
      </c>
      <c r="H1325" t="s">
        <v>4619</v>
      </c>
      <c r="I1325" t="s">
        <v>4620</v>
      </c>
      <c r="J1325" t="s">
        <v>4621</v>
      </c>
      <c r="K1325" t="str">
        <f t="shared" si="226"/>
        <v>5207191230</v>
      </c>
      <c r="L1325" t="str">
        <f t="shared" si="227"/>
        <v>3700</v>
      </c>
      <c r="M1325" t="str">
        <f t="shared" si="224"/>
        <v>5203835441</v>
      </c>
      <c r="N1325" t="str">
        <f>""</f>
        <v/>
      </c>
      <c r="O1325" t="s">
        <v>4625</v>
      </c>
      <c r="P1325" t="s">
        <v>4615</v>
      </c>
      <c r="R1325" t="s">
        <v>4616</v>
      </c>
      <c r="S1325" t="s">
        <v>36</v>
      </c>
      <c r="T1325" t="str">
        <f t="shared" si="225"/>
        <v>85634</v>
      </c>
      <c r="U1325" t="str">
        <f>""</f>
        <v/>
      </c>
      <c r="V1325" t="s">
        <v>4626</v>
      </c>
      <c r="X1325" t="s">
        <v>4627</v>
      </c>
      <c r="Y1325" t="s">
        <v>36</v>
      </c>
      <c r="Z1325" t="str">
        <f>"85639"</f>
        <v>85639</v>
      </c>
      <c r="AA1325" t="str">
        <f>""</f>
        <v/>
      </c>
      <c r="AB1325" t="s">
        <v>2345</v>
      </c>
    </row>
    <row r="1326" spans="1:28" x14ac:dyDescent="0.25">
      <c r="A1326">
        <v>4412</v>
      </c>
      <c r="B1326" t="str">
        <f t="shared" si="223"/>
        <v>100240000</v>
      </c>
      <c r="C1326" t="s">
        <v>4611</v>
      </c>
      <c r="D1326">
        <v>5847</v>
      </c>
      <c r="E1326" t="str">
        <f>"100240204"</f>
        <v>100240204</v>
      </c>
      <c r="F1326" t="s">
        <v>4628</v>
      </c>
      <c r="G1326" t="s">
        <v>42</v>
      </c>
      <c r="H1326" t="s">
        <v>4619</v>
      </c>
      <c r="I1326" t="s">
        <v>4620</v>
      </c>
      <c r="J1326" t="s">
        <v>4621</v>
      </c>
      <c r="K1326" t="str">
        <f t="shared" si="226"/>
        <v>5207191230</v>
      </c>
      <c r="L1326" t="str">
        <f t="shared" si="227"/>
        <v>3700</v>
      </c>
      <c r="M1326" t="str">
        <f t="shared" si="224"/>
        <v>5203835441</v>
      </c>
      <c r="N1326" t="str">
        <f>""</f>
        <v/>
      </c>
      <c r="O1326" t="s">
        <v>4622</v>
      </c>
      <c r="P1326" t="s">
        <v>4629</v>
      </c>
      <c r="Q1326" t="s">
        <v>4617</v>
      </c>
      <c r="R1326" t="s">
        <v>4616</v>
      </c>
      <c r="S1326" t="s">
        <v>36</v>
      </c>
      <c r="T1326" t="str">
        <f t="shared" si="225"/>
        <v>85634</v>
      </c>
      <c r="U1326" t="str">
        <f>""</f>
        <v/>
      </c>
      <c r="V1326" t="s">
        <v>4630</v>
      </c>
      <c r="X1326" t="s">
        <v>4627</v>
      </c>
      <c r="Y1326" t="s">
        <v>36</v>
      </c>
      <c r="Z1326" t="str">
        <f>"85639"</f>
        <v>85639</v>
      </c>
      <c r="AA1326" t="str">
        <f>""</f>
        <v/>
      </c>
      <c r="AB1326" t="s">
        <v>2345</v>
      </c>
    </row>
    <row r="1327" spans="1:28" x14ac:dyDescent="0.25">
      <c r="A1327">
        <v>4412</v>
      </c>
      <c r="B1327" t="str">
        <f t="shared" si="223"/>
        <v>100240000</v>
      </c>
      <c r="C1327" t="s">
        <v>4611</v>
      </c>
      <c r="D1327">
        <v>90821</v>
      </c>
      <c r="E1327" t="str">
        <f>"100240105"</f>
        <v>100240105</v>
      </c>
      <c r="F1327" t="s">
        <v>4631</v>
      </c>
      <c r="G1327" t="s">
        <v>42</v>
      </c>
      <c r="H1327" t="s">
        <v>4619</v>
      </c>
      <c r="I1327" t="s">
        <v>4620</v>
      </c>
      <c r="J1327" t="s">
        <v>4621</v>
      </c>
      <c r="K1327" t="str">
        <f t="shared" si="226"/>
        <v>5207191230</v>
      </c>
      <c r="L1327" t="str">
        <f t="shared" si="227"/>
        <v>3700</v>
      </c>
      <c r="M1327" t="str">
        <f t="shared" si="224"/>
        <v>5203835441</v>
      </c>
      <c r="N1327" t="str">
        <f>""</f>
        <v/>
      </c>
      <c r="O1327" t="s">
        <v>4625</v>
      </c>
      <c r="P1327" t="s">
        <v>4632</v>
      </c>
      <c r="R1327" t="s">
        <v>4616</v>
      </c>
      <c r="S1327" t="s">
        <v>36</v>
      </c>
      <c r="T1327" t="str">
        <f t="shared" si="225"/>
        <v>85634</v>
      </c>
      <c r="U1327" t="str">
        <f>""</f>
        <v/>
      </c>
      <c r="V1327" t="s">
        <v>4633</v>
      </c>
      <c r="X1327" t="s">
        <v>4616</v>
      </c>
      <c r="Y1327" t="s">
        <v>36</v>
      </c>
      <c r="Z1327" t="str">
        <f>"85634"</f>
        <v>85634</v>
      </c>
      <c r="AA1327" t="str">
        <f>""</f>
        <v/>
      </c>
      <c r="AB1327" t="s">
        <v>2345</v>
      </c>
    </row>
    <row r="1328" spans="1:28" x14ac:dyDescent="0.25">
      <c r="A1328">
        <v>4412</v>
      </c>
      <c r="B1328" t="str">
        <f t="shared" si="223"/>
        <v>100240000</v>
      </c>
      <c r="C1328" t="s">
        <v>4611</v>
      </c>
      <c r="D1328">
        <v>90822</v>
      </c>
      <c r="E1328" t="str">
        <f>"100240205"</f>
        <v>100240205</v>
      </c>
      <c r="F1328" t="s">
        <v>4634</v>
      </c>
      <c r="G1328" t="s">
        <v>42</v>
      </c>
      <c r="H1328" t="s">
        <v>4619</v>
      </c>
      <c r="I1328" t="s">
        <v>4620</v>
      </c>
      <c r="J1328" t="s">
        <v>4621</v>
      </c>
      <c r="K1328" t="str">
        <f t="shared" si="226"/>
        <v>5207191230</v>
      </c>
      <c r="L1328" t="str">
        <f t="shared" si="227"/>
        <v>3700</v>
      </c>
      <c r="M1328" t="str">
        <f t="shared" si="224"/>
        <v>5203835441</v>
      </c>
      <c r="N1328" t="str">
        <f>""</f>
        <v/>
      </c>
      <c r="O1328" t="s">
        <v>4625</v>
      </c>
      <c r="P1328" t="s">
        <v>4615</v>
      </c>
      <c r="R1328" t="s">
        <v>4616</v>
      </c>
      <c r="S1328" t="s">
        <v>36</v>
      </c>
      <c r="T1328" t="str">
        <f t="shared" si="225"/>
        <v>85634</v>
      </c>
      <c r="U1328" t="str">
        <f>""</f>
        <v/>
      </c>
      <c r="V1328" t="s">
        <v>4633</v>
      </c>
      <c r="X1328" t="s">
        <v>4616</v>
      </c>
      <c r="Y1328" t="s">
        <v>36</v>
      </c>
      <c r="Z1328" t="str">
        <f>"85634"</f>
        <v>85634</v>
      </c>
      <c r="AA1328" t="str">
        <f>""</f>
        <v/>
      </c>
      <c r="AB1328" t="s">
        <v>2345</v>
      </c>
    </row>
    <row r="1329" spans="1:28" x14ac:dyDescent="0.25">
      <c r="A1329">
        <v>4412</v>
      </c>
      <c r="B1329" t="str">
        <f t="shared" si="223"/>
        <v>100240000</v>
      </c>
      <c r="C1329" t="s">
        <v>4611</v>
      </c>
      <c r="D1329">
        <v>948673</v>
      </c>
      <c r="E1329" t="str">
        <f>"100240106"</f>
        <v>100240106</v>
      </c>
      <c r="F1329" t="s">
        <v>4635</v>
      </c>
      <c r="G1329" t="s">
        <v>42</v>
      </c>
      <c r="H1329" t="s">
        <v>4619</v>
      </c>
      <c r="I1329" t="s">
        <v>4620</v>
      </c>
      <c r="J1329" t="s">
        <v>4636</v>
      </c>
      <c r="K1329" t="str">
        <f t="shared" si="226"/>
        <v>5207191230</v>
      </c>
      <c r="L1329" t="str">
        <f t="shared" si="227"/>
        <v>3700</v>
      </c>
      <c r="M1329" t="str">
        <f t="shared" si="224"/>
        <v>5203835441</v>
      </c>
      <c r="N1329" t="str">
        <f>""</f>
        <v/>
      </c>
      <c r="O1329" t="s">
        <v>4625</v>
      </c>
      <c r="P1329" t="s">
        <v>4615</v>
      </c>
      <c r="R1329" t="s">
        <v>4616</v>
      </c>
      <c r="S1329" t="s">
        <v>36</v>
      </c>
      <c r="T1329" t="str">
        <f t="shared" si="225"/>
        <v>85634</v>
      </c>
      <c r="U1329" t="str">
        <f>""</f>
        <v/>
      </c>
      <c r="V1329" t="s">
        <v>4633</v>
      </c>
      <c r="X1329" t="s">
        <v>4616</v>
      </c>
      <c r="Y1329" t="s">
        <v>36</v>
      </c>
      <c r="Z1329" t="str">
        <f>"85634"</f>
        <v>85634</v>
      </c>
      <c r="AA1329" t="str">
        <f>""</f>
        <v/>
      </c>
      <c r="AB1329" t="s">
        <v>2345</v>
      </c>
    </row>
    <row r="1330" spans="1:28" x14ac:dyDescent="0.25">
      <c r="A1330">
        <v>4413</v>
      </c>
      <c r="B1330" t="str">
        <f t="shared" ref="B1330:B1348" si="228">"100220000"</f>
        <v>100220000</v>
      </c>
      <c r="C1330" t="s">
        <v>4637</v>
      </c>
      <c r="D1330">
        <v>0</v>
      </c>
      <c r="E1330" t="str">
        <f>""</f>
        <v/>
      </c>
      <c r="G1330" t="s">
        <v>29</v>
      </c>
      <c r="H1330" t="s">
        <v>1639</v>
      </c>
      <c r="I1330" t="s">
        <v>4638</v>
      </c>
      <c r="J1330" t="s">
        <v>4639</v>
      </c>
      <c r="K1330" t="str">
        <f t="shared" ref="K1330:K1344" si="229">"5208792072"</f>
        <v>5208792072</v>
      </c>
      <c r="L1330" t="str">
        <f>""</f>
        <v/>
      </c>
      <c r="M1330" t="str">
        <f t="shared" ref="M1330:M1348" si="230">"5208792078"</f>
        <v>5208792078</v>
      </c>
      <c r="N1330" t="str">
        <f>""</f>
        <v/>
      </c>
      <c r="O1330" t="s">
        <v>4640</v>
      </c>
      <c r="P1330" t="s">
        <v>4641</v>
      </c>
      <c r="R1330" t="s">
        <v>4642</v>
      </c>
      <c r="S1330" t="s">
        <v>36</v>
      </c>
      <c r="T1330" t="str">
        <f t="shared" ref="T1330:T1348" si="231">"85641"</f>
        <v>85641</v>
      </c>
      <c r="U1330" t="str">
        <f>""</f>
        <v/>
      </c>
      <c r="V1330" t="s">
        <v>4643</v>
      </c>
      <c r="X1330" t="s">
        <v>4642</v>
      </c>
      <c r="Y1330" t="s">
        <v>36</v>
      </c>
      <c r="Z1330" t="str">
        <f>"85641"</f>
        <v>85641</v>
      </c>
      <c r="AA1330" t="str">
        <f>""</f>
        <v/>
      </c>
      <c r="AB1330" t="s">
        <v>265</v>
      </c>
    </row>
    <row r="1331" spans="1:28" x14ac:dyDescent="0.25">
      <c r="A1331">
        <v>4413</v>
      </c>
      <c r="B1331" t="str">
        <f t="shared" si="228"/>
        <v>100220000</v>
      </c>
      <c r="C1331" t="s">
        <v>4637</v>
      </c>
      <c r="D1331">
        <v>5850</v>
      </c>
      <c r="E1331" t="str">
        <f>"100220104"</f>
        <v>100220104</v>
      </c>
      <c r="F1331" t="s">
        <v>4644</v>
      </c>
      <c r="G1331" t="s">
        <v>42</v>
      </c>
      <c r="H1331" t="s">
        <v>1639</v>
      </c>
      <c r="I1331" t="s">
        <v>4638</v>
      </c>
      <c r="J1331" t="s">
        <v>4639</v>
      </c>
      <c r="K1331" t="str">
        <f t="shared" si="229"/>
        <v>5208792072</v>
      </c>
      <c r="L1331" t="str">
        <f>""</f>
        <v/>
      </c>
      <c r="M1331" t="str">
        <f t="shared" si="230"/>
        <v>5208792078</v>
      </c>
      <c r="N1331" t="str">
        <f>""</f>
        <v/>
      </c>
      <c r="O1331" t="s">
        <v>4640</v>
      </c>
      <c r="P1331" t="s">
        <v>4641</v>
      </c>
      <c r="R1331" t="s">
        <v>4642</v>
      </c>
      <c r="S1331" t="s">
        <v>36</v>
      </c>
      <c r="T1331" t="str">
        <f t="shared" si="231"/>
        <v>85641</v>
      </c>
      <c r="U1331" t="str">
        <f>""</f>
        <v/>
      </c>
      <c r="V1331" t="s">
        <v>4645</v>
      </c>
      <c r="X1331" t="s">
        <v>4642</v>
      </c>
      <c r="Y1331" t="s">
        <v>36</v>
      </c>
      <c r="Z1331" t="str">
        <f>"85641"</f>
        <v>85641</v>
      </c>
      <c r="AA1331" t="str">
        <f>""</f>
        <v/>
      </c>
      <c r="AB1331" t="s">
        <v>265</v>
      </c>
    </row>
    <row r="1332" spans="1:28" x14ac:dyDescent="0.25">
      <c r="A1332">
        <v>4413</v>
      </c>
      <c r="B1332" t="str">
        <f t="shared" si="228"/>
        <v>100220000</v>
      </c>
      <c r="C1332" t="s">
        <v>4637</v>
      </c>
      <c r="D1332">
        <v>5851</v>
      </c>
      <c r="E1332" t="str">
        <f>"100220105"</f>
        <v>100220105</v>
      </c>
      <c r="F1332" t="s">
        <v>1926</v>
      </c>
      <c r="G1332" t="s">
        <v>42</v>
      </c>
      <c r="H1332" t="s">
        <v>1639</v>
      </c>
      <c r="I1332" t="s">
        <v>4638</v>
      </c>
      <c r="J1332" t="s">
        <v>4639</v>
      </c>
      <c r="K1332" t="str">
        <f t="shared" si="229"/>
        <v>5208792072</v>
      </c>
      <c r="L1332" t="str">
        <f>""</f>
        <v/>
      </c>
      <c r="M1332" t="str">
        <f t="shared" si="230"/>
        <v>5208792078</v>
      </c>
      <c r="N1332" t="str">
        <f>""</f>
        <v/>
      </c>
      <c r="O1332" t="s">
        <v>4640</v>
      </c>
      <c r="P1332" t="s">
        <v>4641</v>
      </c>
      <c r="R1332" t="s">
        <v>4642</v>
      </c>
      <c r="S1332" t="s">
        <v>36</v>
      </c>
      <c r="T1332" t="str">
        <f t="shared" si="231"/>
        <v>85641</v>
      </c>
      <c r="U1332" t="str">
        <f>""</f>
        <v/>
      </c>
      <c r="V1332" t="s">
        <v>4646</v>
      </c>
      <c r="X1332" t="s">
        <v>4169</v>
      </c>
      <c r="Y1332" t="s">
        <v>36</v>
      </c>
      <c r="Z1332" t="str">
        <f>"85747"</f>
        <v>85747</v>
      </c>
      <c r="AA1332" t="str">
        <f>""</f>
        <v/>
      </c>
      <c r="AB1332" t="s">
        <v>265</v>
      </c>
    </row>
    <row r="1333" spans="1:28" x14ac:dyDescent="0.25">
      <c r="A1333">
        <v>4413</v>
      </c>
      <c r="B1333" t="str">
        <f t="shared" si="228"/>
        <v>100220000</v>
      </c>
      <c r="C1333" t="s">
        <v>4637</v>
      </c>
      <c r="D1333">
        <v>10855</v>
      </c>
      <c r="E1333" t="str">
        <f>"100220205"</f>
        <v>100220205</v>
      </c>
      <c r="F1333" t="s">
        <v>4647</v>
      </c>
      <c r="G1333" t="s">
        <v>42</v>
      </c>
      <c r="H1333" t="s">
        <v>1639</v>
      </c>
      <c r="I1333" t="s">
        <v>4638</v>
      </c>
      <c r="J1333" t="s">
        <v>4639</v>
      </c>
      <c r="K1333" t="str">
        <f t="shared" si="229"/>
        <v>5208792072</v>
      </c>
      <c r="L1333" t="str">
        <f>""</f>
        <v/>
      </c>
      <c r="M1333" t="str">
        <f t="shared" si="230"/>
        <v>5208792078</v>
      </c>
      <c r="N1333" t="str">
        <f>""</f>
        <v/>
      </c>
      <c r="O1333" t="s">
        <v>4640</v>
      </c>
      <c r="P1333" t="s">
        <v>4648</v>
      </c>
      <c r="R1333" t="s">
        <v>4642</v>
      </c>
      <c r="S1333" t="s">
        <v>36</v>
      </c>
      <c r="T1333" t="str">
        <f t="shared" si="231"/>
        <v>85641</v>
      </c>
      <c r="U1333" t="str">
        <f>""</f>
        <v/>
      </c>
      <c r="V1333" t="s">
        <v>4649</v>
      </c>
      <c r="X1333" t="s">
        <v>4169</v>
      </c>
      <c r="Y1333" t="s">
        <v>36</v>
      </c>
      <c r="Z1333" t="str">
        <f>"85747"</f>
        <v>85747</v>
      </c>
      <c r="AA1333" t="str">
        <f>""</f>
        <v/>
      </c>
      <c r="AB1333" t="s">
        <v>265</v>
      </c>
    </row>
    <row r="1334" spans="1:28" x14ac:dyDescent="0.25">
      <c r="A1334">
        <v>4413</v>
      </c>
      <c r="B1334" t="str">
        <f t="shared" si="228"/>
        <v>100220000</v>
      </c>
      <c r="C1334" t="s">
        <v>4637</v>
      </c>
      <c r="D1334">
        <v>79719</v>
      </c>
      <c r="E1334" t="str">
        <f>"100220107"</f>
        <v>100220107</v>
      </c>
      <c r="F1334" t="s">
        <v>4650</v>
      </c>
      <c r="G1334" t="s">
        <v>42</v>
      </c>
      <c r="H1334" t="s">
        <v>1639</v>
      </c>
      <c r="I1334" t="s">
        <v>4638</v>
      </c>
      <c r="J1334" t="s">
        <v>4639</v>
      </c>
      <c r="K1334" t="str">
        <f t="shared" si="229"/>
        <v>5208792072</v>
      </c>
      <c r="L1334" t="str">
        <f>""</f>
        <v/>
      </c>
      <c r="M1334" t="str">
        <f t="shared" si="230"/>
        <v>5208792078</v>
      </c>
      <c r="N1334" t="str">
        <f>""</f>
        <v/>
      </c>
      <c r="O1334" t="s">
        <v>4640</v>
      </c>
      <c r="P1334" t="s">
        <v>4641</v>
      </c>
      <c r="R1334" t="s">
        <v>4642</v>
      </c>
      <c r="S1334" t="s">
        <v>36</v>
      </c>
      <c r="T1334" t="str">
        <f t="shared" si="231"/>
        <v>85641</v>
      </c>
      <c r="U1334" t="str">
        <f>""</f>
        <v/>
      </c>
      <c r="V1334" t="s">
        <v>4651</v>
      </c>
      <c r="X1334" t="s">
        <v>4169</v>
      </c>
      <c r="Y1334" t="s">
        <v>36</v>
      </c>
      <c r="Z1334" t="str">
        <f>"85747"</f>
        <v>85747</v>
      </c>
      <c r="AA1334" t="str">
        <f>""</f>
        <v/>
      </c>
      <c r="AB1334" t="s">
        <v>265</v>
      </c>
    </row>
    <row r="1335" spans="1:28" x14ac:dyDescent="0.25">
      <c r="A1335">
        <v>4413</v>
      </c>
      <c r="B1335" t="str">
        <f t="shared" si="228"/>
        <v>100220000</v>
      </c>
      <c r="C1335" t="s">
        <v>4637</v>
      </c>
      <c r="D1335">
        <v>79720</v>
      </c>
      <c r="E1335" t="str">
        <f>"100220108"</f>
        <v>100220108</v>
      </c>
      <c r="F1335" t="s">
        <v>2024</v>
      </c>
      <c r="G1335" t="s">
        <v>42</v>
      </c>
      <c r="H1335" t="s">
        <v>1639</v>
      </c>
      <c r="I1335" t="s">
        <v>4638</v>
      </c>
      <c r="J1335" t="s">
        <v>4639</v>
      </c>
      <c r="K1335" t="str">
        <f t="shared" si="229"/>
        <v>5208792072</v>
      </c>
      <c r="L1335" t="str">
        <f>""</f>
        <v/>
      </c>
      <c r="M1335" t="str">
        <f t="shared" si="230"/>
        <v>5208792078</v>
      </c>
      <c r="N1335" t="str">
        <f>""</f>
        <v/>
      </c>
      <c r="O1335" t="s">
        <v>4640</v>
      </c>
      <c r="P1335" t="s">
        <v>4641</v>
      </c>
      <c r="R1335" t="s">
        <v>4642</v>
      </c>
      <c r="S1335" t="s">
        <v>36</v>
      </c>
      <c r="T1335" t="str">
        <f t="shared" si="231"/>
        <v>85641</v>
      </c>
      <c r="U1335" t="str">
        <f>""</f>
        <v/>
      </c>
      <c r="V1335" t="s">
        <v>4652</v>
      </c>
      <c r="X1335" t="s">
        <v>4169</v>
      </c>
      <c r="Y1335" t="s">
        <v>36</v>
      </c>
      <c r="Z1335" t="str">
        <f>"85747"</f>
        <v>85747</v>
      </c>
      <c r="AA1335" t="str">
        <f>""</f>
        <v/>
      </c>
      <c r="AB1335" t="s">
        <v>265</v>
      </c>
    </row>
    <row r="1336" spans="1:28" x14ac:dyDescent="0.25">
      <c r="A1336">
        <v>4413</v>
      </c>
      <c r="B1336" t="str">
        <f t="shared" si="228"/>
        <v>100220000</v>
      </c>
      <c r="C1336" t="s">
        <v>4637</v>
      </c>
      <c r="D1336">
        <v>79721</v>
      </c>
      <c r="E1336" t="str">
        <f>"100220201"</f>
        <v>100220201</v>
      </c>
      <c r="F1336" t="s">
        <v>4653</v>
      </c>
      <c r="G1336" t="s">
        <v>42</v>
      </c>
      <c r="H1336" t="s">
        <v>1639</v>
      </c>
      <c r="I1336" t="s">
        <v>4638</v>
      </c>
      <c r="J1336" t="s">
        <v>4639</v>
      </c>
      <c r="K1336" t="str">
        <f t="shared" si="229"/>
        <v>5208792072</v>
      </c>
      <c r="L1336" t="str">
        <f>""</f>
        <v/>
      </c>
      <c r="M1336" t="str">
        <f t="shared" si="230"/>
        <v>5208792078</v>
      </c>
      <c r="N1336" t="str">
        <f>""</f>
        <v/>
      </c>
      <c r="O1336" t="s">
        <v>4640</v>
      </c>
      <c r="P1336" t="s">
        <v>4641</v>
      </c>
      <c r="R1336" t="s">
        <v>4642</v>
      </c>
      <c r="S1336" t="s">
        <v>36</v>
      </c>
      <c r="T1336" t="str">
        <f t="shared" si="231"/>
        <v>85641</v>
      </c>
      <c r="U1336" t="str">
        <f>""</f>
        <v/>
      </c>
      <c r="V1336" t="s">
        <v>4654</v>
      </c>
      <c r="X1336" t="s">
        <v>4642</v>
      </c>
      <c r="Y1336" t="s">
        <v>36</v>
      </c>
      <c r="Z1336" t="str">
        <f>"85641"</f>
        <v>85641</v>
      </c>
      <c r="AA1336" t="str">
        <f>""</f>
        <v/>
      </c>
      <c r="AB1336" t="s">
        <v>265</v>
      </c>
    </row>
    <row r="1337" spans="1:28" x14ac:dyDescent="0.25">
      <c r="A1337">
        <v>4413</v>
      </c>
      <c r="B1337" t="str">
        <f t="shared" si="228"/>
        <v>100220000</v>
      </c>
      <c r="C1337" t="s">
        <v>4637</v>
      </c>
      <c r="D1337">
        <v>80871</v>
      </c>
      <c r="E1337" t="str">
        <f>"100220109"</f>
        <v>100220109</v>
      </c>
      <c r="F1337" t="s">
        <v>4655</v>
      </c>
      <c r="G1337" t="s">
        <v>42</v>
      </c>
      <c r="H1337" t="s">
        <v>1639</v>
      </c>
      <c r="I1337" t="s">
        <v>4638</v>
      </c>
      <c r="J1337" t="s">
        <v>4639</v>
      </c>
      <c r="K1337" t="str">
        <f t="shared" si="229"/>
        <v>5208792072</v>
      </c>
      <c r="L1337" t="str">
        <f>""</f>
        <v/>
      </c>
      <c r="M1337" t="str">
        <f t="shared" si="230"/>
        <v>5208792078</v>
      </c>
      <c r="N1337" t="str">
        <f>""</f>
        <v/>
      </c>
      <c r="O1337" t="s">
        <v>4640</v>
      </c>
      <c r="P1337" t="s">
        <v>4641</v>
      </c>
      <c r="R1337" t="s">
        <v>4642</v>
      </c>
      <c r="S1337" t="s">
        <v>36</v>
      </c>
      <c r="T1337" t="str">
        <f t="shared" si="231"/>
        <v>85641</v>
      </c>
      <c r="U1337" t="str">
        <f>""</f>
        <v/>
      </c>
      <c r="V1337" t="s">
        <v>4656</v>
      </c>
      <c r="X1337" t="s">
        <v>4642</v>
      </c>
      <c r="Y1337" t="s">
        <v>36</v>
      </c>
      <c r="Z1337" t="str">
        <f>"85641"</f>
        <v>85641</v>
      </c>
      <c r="AA1337" t="str">
        <f>""</f>
        <v/>
      </c>
      <c r="AB1337" t="s">
        <v>265</v>
      </c>
    </row>
    <row r="1338" spans="1:28" x14ac:dyDescent="0.25">
      <c r="A1338">
        <v>4413</v>
      </c>
      <c r="B1338" t="str">
        <f t="shared" si="228"/>
        <v>100220000</v>
      </c>
      <c r="C1338" t="s">
        <v>4637</v>
      </c>
      <c r="D1338">
        <v>84665</v>
      </c>
      <c r="E1338" t="str">
        <f>"100220202"</f>
        <v>100220202</v>
      </c>
      <c r="F1338" t="s">
        <v>4657</v>
      </c>
      <c r="G1338" t="s">
        <v>42</v>
      </c>
      <c r="H1338" t="s">
        <v>1639</v>
      </c>
      <c r="I1338" t="s">
        <v>4638</v>
      </c>
      <c r="J1338" t="s">
        <v>4639</v>
      </c>
      <c r="K1338" t="str">
        <f t="shared" si="229"/>
        <v>5208792072</v>
      </c>
      <c r="L1338" t="str">
        <f>""</f>
        <v/>
      </c>
      <c r="M1338" t="str">
        <f t="shared" si="230"/>
        <v>5208792078</v>
      </c>
      <c r="N1338" t="str">
        <f>""</f>
        <v/>
      </c>
      <c r="O1338" t="s">
        <v>4640</v>
      </c>
      <c r="P1338" t="s">
        <v>4658</v>
      </c>
      <c r="R1338" t="s">
        <v>4642</v>
      </c>
      <c r="S1338" t="s">
        <v>36</v>
      </c>
      <c r="T1338" t="str">
        <f t="shared" si="231"/>
        <v>85641</v>
      </c>
      <c r="U1338" t="str">
        <f>""</f>
        <v/>
      </c>
      <c r="V1338" t="s">
        <v>4659</v>
      </c>
      <c r="X1338" t="s">
        <v>4169</v>
      </c>
      <c r="Y1338" t="s">
        <v>36</v>
      </c>
      <c r="Z1338" t="str">
        <f>"85747"</f>
        <v>85747</v>
      </c>
      <c r="AA1338" t="str">
        <f>""</f>
        <v/>
      </c>
      <c r="AB1338" t="s">
        <v>265</v>
      </c>
    </row>
    <row r="1339" spans="1:28" x14ac:dyDescent="0.25">
      <c r="A1339">
        <v>4413</v>
      </c>
      <c r="B1339" t="str">
        <f t="shared" si="228"/>
        <v>100220000</v>
      </c>
      <c r="C1339" t="s">
        <v>4637</v>
      </c>
      <c r="D1339">
        <v>87470</v>
      </c>
      <c r="E1339" t="str">
        <f>"100220110"</f>
        <v>100220110</v>
      </c>
      <c r="F1339" t="s">
        <v>4660</v>
      </c>
      <c r="G1339" t="s">
        <v>42</v>
      </c>
      <c r="H1339" t="s">
        <v>1639</v>
      </c>
      <c r="I1339" t="s">
        <v>4638</v>
      </c>
      <c r="J1339" t="s">
        <v>4639</v>
      </c>
      <c r="K1339" t="str">
        <f t="shared" si="229"/>
        <v>5208792072</v>
      </c>
      <c r="L1339" t="str">
        <f>""</f>
        <v/>
      </c>
      <c r="M1339" t="str">
        <f t="shared" si="230"/>
        <v>5208792078</v>
      </c>
      <c r="N1339" t="str">
        <f>""</f>
        <v/>
      </c>
      <c r="O1339" t="s">
        <v>4640</v>
      </c>
      <c r="P1339" t="s">
        <v>4641</v>
      </c>
      <c r="R1339" t="s">
        <v>4642</v>
      </c>
      <c r="S1339" t="s">
        <v>36</v>
      </c>
      <c r="T1339" t="str">
        <f t="shared" si="231"/>
        <v>85641</v>
      </c>
      <c r="U1339" t="str">
        <f>""</f>
        <v/>
      </c>
      <c r="V1339" t="s">
        <v>4661</v>
      </c>
      <c r="X1339" t="s">
        <v>4642</v>
      </c>
      <c r="Y1339" t="s">
        <v>36</v>
      </c>
      <c r="Z1339" t="str">
        <f>"85641"</f>
        <v>85641</v>
      </c>
      <c r="AA1339" t="str">
        <f>""</f>
        <v/>
      </c>
      <c r="AB1339" t="s">
        <v>265</v>
      </c>
    </row>
    <row r="1340" spans="1:28" x14ac:dyDescent="0.25">
      <c r="A1340">
        <v>4413</v>
      </c>
      <c r="B1340" t="str">
        <f t="shared" si="228"/>
        <v>100220000</v>
      </c>
      <c r="C1340" t="s">
        <v>4637</v>
      </c>
      <c r="D1340">
        <v>87875</v>
      </c>
      <c r="E1340" t="str">
        <f>"100220203"</f>
        <v>100220203</v>
      </c>
      <c r="F1340" t="s">
        <v>4662</v>
      </c>
      <c r="G1340" t="s">
        <v>42</v>
      </c>
      <c r="H1340" t="s">
        <v>1639</v>
      </c>
      <c r="I1340" t="s">
        <v>4638</v>
      </c>
      <c r="J1340" t="s">
        <v>4639</v>
      </c>
      <c r="K1340" t="str">
        <f t="shared" si="229"/>
        <v>5208792072</v>
      </c>
      <c r="L1340" t="str">
        <f>""</f>
        <v/>
      </c>
      <c r="M1340" t="str">
        <f t="shared" si="230"/>
        <v>5208792078</v>
      </c>
      <c r="N1340" t="str">
        <f>""</f>
        <v/>
      </c>
      <c r="O1340" t="s">
        <v>4640</v>
      </c>
      <c r="P1340" t="s">
        <v>4641</v>
      </c>
      <c r="R1340" t="s">
        <v>4642</v>
      </c>
      <c r="S1340" t="s">
        <v>36</v>
      </c>
      <c r="T1340" t="str">
        <f t="shared" si="231"/>
        <v>85641</v>
      </c>
      <c r="U1340" t="str">
        <f>""</f>
        <v/>
      </c>
      <c r="V1340" t="s">
        <v>4663</v>
      </c>
      <c r="X1340" t="s">
        <v>4169</v>
      </c>
      <c r="Y1340" t="s">
        <v>36</v>
      </c>
      <c r="Z1340" t="str">
        <f>"85747"</f>
        <v>85747</v>
      </c>
      <c r="AA1340" t="str">
        <f>""</f>
        <v/>
      </c>
      <c r="AB1340" t="s">
        <v>265</v>
      </c>
    </row>
    <row r="1341" spans="1:28" x14ac:dyDescent="0.25">
      <c r="A1341">
        <v>4413</v>
      </c>
      <c r="B1341" t="str">
        <f t="shared" si="228"/>
        <v>100220000</v>
      </c>
      <c r="C1341" t="s">
        <v>4637</v>
      </c>
      <c r="D1341">
        <v>89575</v>
      </c>
      <c r="E1341" t="str">
        <f>"100220112"</f>
        <v>100220112</v>
      </c>
      <c r="F1341" t="s">
        <v>4664</v>
      </c>
      <c r="G1341" t="s">
        <v>42</v>
      </c>
      <c r="H1341" t="s">
        <v>1639</v>
      </c>
      <c r="I1341" t="s">
        <v>4638</v>
      </c>
      <c r="J1341" t="s">
        <v>4639</v>
      </c>
      <c r="K1341" t="str">
        <f t="shared" si="229"/>
        <v>5208792072</v>
      </c>
      <c r="L1341" t="str">
        <f>""</f>
        <v/>
      </c>
      <c r="M1341" t="str">
        <f t="shared" si="230"/>
        <v>5208792078</v>
      </c>
      <c r="N1341" t="str">
        <f>""</f>
        <v/>
      </c>
      <c r="O1341" t="s">
        <v>4640</v>
      </c>
      <c r="P1341" t="s">
        <v>4641</v>
      </c>
      <c r="R1341" t="s">
        <v>4642</v>
      </c>
      <c r="S1341" t="s">
        <v>36</v>
      </c>
      <c r="T1341" t="str">
        <f t="shared" si="231"/>
        <v>85641</v>
      </c>
      <c r="U1341" t="str">
        <f>""</f>
        <v/>
      </c>
      <c r="V1341" t="s">
        <v>4665</v>
      </c>
      <c r="X1341" t="s">
        <v>4642</v>
      </c>
      <c r="Y1341" t="s">
        <v>36</v>
      </c>
      <c r="Z1341" t="str">
        <f>"85641"</f>
        <v>85641</v>
      </c>
      <c r="AA1341" t="str">
        <f>""</f>
        <v/>
      </c>
      <c r="AB1341" t="s">
        <v>265</v>
      </c>
    </row>
    <row r="1342" spans="1:28" x14ac:dyDescent="0.25">
      <c r="A1342">
        <v>4413</v>
      </c>
      <c r="B1342" t="str">
        <f t="shared" si="228"/>
        <v>100220000</v>
      </c>
      <c r="C1342" t="s">
        <v>4637</v>
      </c>
      <c r="D1342">
        <v>89749</v>
      </c>
      <c r="E1342" t="str">
        <f>"100220113"</f>
        <v>100220113</v>
      </c>
      <c r="F1342" t="s">
        <v>4666</v>
      </c>
      <c r="G1342" t="s">
        <v>42</v>
      </c>
      <c r="H1342" t="s">
        <v>1639</v>
      </c>
      <c r="I1342" t="s">
        <v>4638</v>
      </c>
      <c r="J1342" t="s">
        <v>4639</v>
      </c>
      <c r="K1342" t="str">
        <f t="shared" si="229"/>
        <v>5208792072</v>
      </c>
      <c r="L1342" t="str">
        <f>""</f>
        <v/>
      </c>
      <c r="M1342" t="str">
        <f t="shared" si="230"/>
        <v>5208792078</v>
      </c>
      <c r="N1342" t="str">
        <f>""</f>
        <v/>
      </c>
      <c r="O1342" t="s">
        <v>4640</v>
      </c>
      <c r="P1342" t="s">
        <v>4641</v>
      </c>
      <c r="R1342" t="s">
        <v>4642</v>
      </c>
      <c r="S1342" t="s">
        <v>36</v>
      </c>
      <c r="T1342" t="str">
        <f t="shared" si="231"/>
        <v>85641</v>
      </c>
      <c r="U1342" t="str">
        <f>""</f>
        <v/>
      </c>
      <c r="V1342" t="s">
        <v>4667</v>
      </c>
      <c r="X1342" t="s">
        <v>4169</v>
      </c>
      <c r="Y1342" t="s">
        <v>36</v>
      </c>
      <c r="Z1342" t="str">
        <f>"85747"</f>
        <v>85747</v>
      </c>
      <c r="AA1342" t="str">
        <f>""</f>
        <v/>
      </c>
      <c r="AB1342" t="s">
        <v>265</v>
      </c>
    </row>
    <row r="1343" spans="1:28" x14ac:dyDescent="0.25">
      <c r="A1343">
        <v>4413</v>
      </c>
      <c r="B1343" t="str">
        <f t="shared" si="228"/>
        <v>100220000</v>
      </c>
      <c r="C1343" t="s">
        <v>4637</v>
      </c>
      <c r="D1343">
        <v>90156</v>
      </c>
      <c r="E1343" t="str">
        <f>"100220114"</f>
        <v>100220114</v>
      </c>
      <c r="F1343" t="s">
        <v>4668</v>
      </c>
      <c r="G1343" t="s">
        <v>42</v>
      </c>
      <c r="H1343" t="s">
        <v>1639</v>
      </c>
      <c r="I1343" t="s">
        <v>4638</v>
      </c>
      <c r="J1343" t="s">
        <v>4639</v>
      </c>
      <c r="K1343" t="str">
        <f t="shared" si="229"/>
        <v>5208792072</v>
      </c>
      <c r="L1343" t="str">
        <f>""</f>
        <v/>
      </c>
      <c r="M1343" t="str">
        <f t="shared" si="230"/>
        <v>5208792078</v>
      </c>
      <c r="N1343" t="str">
        <f>""</f>
        <v/>
      </c>
      <c r="O1343" t="s">
        <v>4640</v>
      </c>
      <c r="P1343" t="s">
        <v>4641</v>
      </c>
      <c r="R1343" t="s">
        <v>4642</v>
      </c>
      <c r="S1343" t="s">
        <v>36</v>
      </c>
      <c r="T1343" t="str">
        <f t="shared" si="231"/>
        <v>85641</v>
      </c>
      <c r="U1343" t="str">
        <f>""</f>
        <v/>
      </c>
      <c r="V1343" t="s">
        <v>4669</v>
      </c>
      <c r="X1343" t="s">
        <v>4169</v>
      </c>
      <c r="Y1343" t="s">
        <v>36</v>
      </c>
      <c r="Z1343" t="str">
        <f>"85747"</f>
        <v>85747</v>
      </c>
      <c r="AA1343" t="str">
        <f>""</f>
        <v/>
      </c>
      <c r="AB1343" t="s">
        <v>265</v>
      </c>
    </row>
    <row r="1344" spans="1:28" x14ac:dyDescent="0.25">
      <c r="A1344">
        <v>4413</v>
      </c>
      <c r="B1344" t="str">
        <f t="shared" si="228"/>
        <v>100220000</v>
      </c>
      <c r="C1344" t="s">
        <v>4637</v>
      </c>
      <c r="D1344">
        <v>91168</v>
      </c>
      <c r="E1344" t="str">
        <f>"100220119"</f>
        <v>100220119</v>
      </c>
      <c r="F1344" t="s">
        <v>2484</v>
      </c>
      <c r="G1344" t="s">
        <v>42</v>
      </c>
      <c r="H1344" t="s">
        <v>1639</v>
      </c>
      <c r="I1344" t="s">
        <v>4638</v>
      </c>
      <c r="J1344" t="s">
        <v>4639</v>
      </c>
      <c r="K1344" t="str">
        <f t="shared" si="229"/>
        <v>5208792072</v>
      </c>
      <c r="L1344" t="str">
        <f>""</f>
        <v/>
      </c>
      <c r="M1344" t="str">
        <f t="shared" si="230"/>
        <v>5208792078</v>
      </c>
      <c r="N1344" t="str">
        <f>""</f>
        <v/>
      </c>
      <c r="O1344" t="s">
        <v>4640</v>
      </c>
      <c r="P1344" t="s">
        <v>4641</v>
      </c>
      <c r="R1344" t="s">
        <v>4642</v>
      </c>
      <c r="S1344" t="s">
        <v>36</v>
      </c>
      <c r="T1344" t="str">
        <f t="shared" si="231"/>
        <v>85641</v>
      </c>
      <c r="U1344" t="str">
        <f>""</f>
        <v/>
      </c>
      <c r="V1344" t="s">
        <v>4670</v>
      </c>
      <c r="X1344" t="s">
        <v>4642</v>
      </c>
      <c r="Y1344" t="s">
        <v>36</v>
      </c>
      <c r="Z1344" t="str">
        <f>"85641"</f>
        <v>85641</v>
      </c>
      <c r="AA1344" t="str">
        <f>""</f>
        <v/>
      </c>
      <c r="AB1344" t="s">
        <v>265</v>
      </c>
    </row>
    <row r="1345" spans="1:28" x14ac:dyDescent="0.25">
      <c r="A1345">
        <v>4413</v>
      </c>
      <c r="B1345" t="str">
        <f t="shared" si="228"/>
        <v>100220000</v>
      </c>
      <c r="C1345" t="s">
        <v>4637</v>
      </c>
      <c r="D1345">
        <v>91169</v>
      </c>
      <c r="E1345" t="str">
        <f>"100220120"</f>
        <v>100220120</v>
      </c>
      <c r="F1345" t="s">
        <v>1327</v>
      </c>
      <c r="G1345" t="s">
        <v>42</v>
      </c>
      <c r="H1345" t="s">
        <v>1639</v>
      </c>
      <c r="I1345" t="s">
        <v>4638</v>
      </c>
      <c r="J1345" t="s">
        <v>4639</v>
      </c>
      <c r="K1345" t="str">
        <f>"5208792090"</f>
        <v>5208792090</v>
      </c>
      <c r="L1345" t="str">
        <f>""</f>
        <v/>
      </c>
      <c r="M1345" t="str">
        <f t="shared" si="230"/>
        <v>5208792078</v>
      </c>
      <c r="N1345" t="str">
        <f>""</f>
        <v/>
      </c>
      <c r="O1345" t="s">
        <v>4640</v>
      </c>
      <c r="P1345" t="s">
        <v>4641</v>
      </c>
      <c r="R1345" t="s">
        <v>4642</v>
      </c>
      <c r="S1345" t="s">
        <v>36</v>
      </c>
      <c r="T1345" t="str">
        <f t="shared" si="231"/>
        <v>85641</v>
      </c>
      <c r="U1345" t="str">
        <f>""</f>
        <v/>
      </c>
      <c r="V1345" t="s">
        <v>4671</v>
      </c>
      <c r="X1345" t="s">
        <v>4169</v>
      </c>
      <c r="Y1345" t="s">
        <v>36</v>
      </c>
      <c r="Z1345" t="str">
        <f>"85747"</f>
        <v>85747</v>
      </c>
      <c r="AA1345" t="str">
        <f>""</f>
        <v/>
      </c>
      <c r="AB1345" t="s">
        <v>265</v>
      </c>
    </row>
    <row r="1346" spans="1:28" x14ac:dyDescent="0.25">
      <c r="A1346">
        <v>4413</v>
      </c>
      <c r="B1346" t="str">
        <f t="shared" si="228"/>
        <v>100220000</v>
      </c>
      <c r="C1346" t="s">
        <v>4637</v>
      </c>
      <c r="D1346">
        <v>91292</v>
      </c>
      <c r="E1346" t="str">
        <f>"100220204"</f>
        <v>100220204</v>
      </c>
      <c r="F1346" t="s">
        <v>4672</v>
      </c>
      <c r="G1346" t="s">
        <v>42</v>
      </c>
      <c r="H1346" t="s">
        <v>1639</v>
      </c>
      <c r="I1346" t="s">
        <v>4638</v>
      </c>
      <c r="J1346" t="s">
        <v>4639</v>
      </c>
      <c r="K1346" t="str">
        <f>"5208792072"</f>
        <v>5208792072</v>
      </c>
      <c r="L1346" t="str">
        <f>""</f>
        <v/>
      </c>
      <c r="M1346" t="str">
        <f t="shared" si="230"/>
        <v>5208792078</v>
      </c>
      <c r="N1346" t="str">
        <f>""</f>
        <v/>
      </c>
      <c r="O1346" t="s">
        <v>4640</v>
      </c>
      <c r="P1346" t="s">
        <v>4641</v>
      </c>
      <c r="R1346" t="s">
        <v>4642</v>
      </c>
      <c r="S1346" t="s">
        <v>36</v>
      </c>
      <c r="T1346" t="str">
        <f t="shared" si="231"/>
        <v>85641</v>
      </c>
      <c r="U1346" t="str">
        <f>""</f>
        <v/>
      </c>
      <c r="V1346" t="s">
        <v>4673</v>
      </c>
      <c r="X1346" t="s">
        <v>4169</v>
      </c>
      <c r="Y1346" t="s">
        <v>36</v>
      </c>
      <c r="Z1346" t="str">
        <f>"85747"</f>
        <v>85747</v>
      </c>
      <c r="AA1346" t="str">
        <f>""</f>
        <v/>
      </c>
      <c r="AB1346" t="s">
        <v>265</v>
      </c>
    </row>
    <row r="1347" spans="1:28" x14ac:dyDescent="0.25">
      <c r="A1347">
        <v>4413</v>
      </c>
      <c r="B1347" t="str">
        <f t="shared" si="228"/>
        <v>100220000</v>
      </c>
      <c r="C1347" t="s">
        <v>4637</v>
      </c>
      <c r="D1347">
        <v>92376</v>
      </c>
      <c r="E1347" t="str">
        <f>"100220115"</f>
        <v>100220115</v>
      </c>
      <c r="F1347" t="s">
        <v>4674</v>
      </c>
      <c r="G1347" t="s">
        <v>42</v>
      </c>
      <c r="H1347" t="s">
        <v>1639</v>
      </c>
      <c r="I1347" t="s">
        <v>4638</v>
      </c>
      <c r="J1347" t="s">
        <v>4639</v>
      </c>
      <c r="K1347" t="str">
        <f>"5208792072"</f>
        <v>5208792072</v>
      </c>
      <c r="L1347" t="str">
        <f>""</f>
        <v/>
      </c>
      <c r="M1347" t="str">
        <f t="shared" si="230"/>
        <v>5208792078</v>
      </c>
      <c r="N1347" t="str">
        <f>""</f>
        <v/>
      </c>
      <c r="O1347" t="s">
        <v>4640</v>
      </c>
      <c r="P1347" t="s">
        <v>4658</v>
      </c>
      <c r="R1347" t="s">
        <v>4642</v>
      </c>
      <c r="S1347" t="s">
        <v>36</v>
      </c>
      <c r="T1347" t="str">
        <f t="shared" si="231"/>
        <v>85641</v>
      </c>
      <c r="U1347" t="str">
        <f>""</f>
        <v/>
      </c>
      <c r="V1347" t="s">
        <v>4675</v>
      </c>
      <c r="X1347" t="s">
        <v>4169</v>
      </c>
      <c r="Y1347" t="s">
        <v>36</v>
      </c>
      <c r="Z1347" t="str">
        <f>"85747"</f>
        <v>85747</v>
      </c>
      <c r="AA1347" t="str">
        <f>""</f>
        <v/>
      </c>
      <c r="AB1347" t="s">
        <v>265</v>
      </c>
    </row>
    <row r="1348" spans="1:28" x14ac:dyDescent="0.25">
      <c r="A1348">
        <v>4413</v>
      </c>
      <c r="B1348" t="str">
        <f t="shared" si="228"/>
        <v>100220000</v>
      </c>
      <c r="C1348" t="s">
        <v>4637</v>
      </c>
      <c r="D1348">
        <v>93000</v>
      </c>
      <c r="E1348" t="str">
        <f>"100220117"</f>
        <v>100220117</v>
      </c>
      <c r="F1348" t="s">
        <v>4676</v>
      </c>
      <c r="G1348" t="s">
        <v>42</v>
      </c>
      <c r="H1348" t="s">
        <v>1639</v>
      </c>
      <c r="I1348" t="s">
        <v>4638</v>
      </c>
      <c r="J1348" t="s">
        <v>4639</v>
      </c>
      <c r="K1348" t="str">
        <f>"5208792072"</f>
        <v>5208792072</v>
      </c>
      <c r="L1348" t="str">
        <f>""</f>
        <v/>
      </c>
      <c r="M1348" t="str">
        <f t="shared" si="230"/>
        <v>5208792078</v>
      </c>
      <c r="N1348" t="str">
        <f>""</f>
        <v/>
      </c>
      <c r="O1348" t="s">
        <v>4640</v>
      </c>
      <c r="P1348" t="s">
        <v>4677</v>
      </c>
      <c r="R1348" t="s">
        <v>4642</v>
      </c>
      <c r="S1348" t="s">
        <v>36</v>
      </c>
      <c r="T1348" t="str">
        <f t="shared" si="231"/>
        <v>85641</v>
      </c>
      <c r="U1348" t="str">
        <f>""</f>
        <v/>
      </c>
      <c r="V1348" t="s">
        <v>4677</v>
      </c>
      <c r="X1348" t="s">
        <v>4642</v>
      </c>
      <c r="Y1348" t="s">
        <v>36</v>
      </c>
      <c r="Z1348" t="str">
        <f>"85641"</f>
        <v>85641</v>
      </c>
      <c r="AA1348" t="str">
        <f>""</f>
        <v/>
      </c>
      <c r="AB1348" t="s">
        <v>265</v>
      </c>
    </row>
    <row r="1349" spans="1:28" x14ac:dyDescent="0.25">
      <c r="A1349">
        <v>4416</v>
      </c>
      <c r="B1349" t="str">
        <f>"100339000"</f>
        <v>100339000</v>
      </c>
      <c r="C1349" t="s">
        <v>4678</v>
      </c>
      <c r="D1349">
        <v>0</v>
      </c>
      <c r="E1349" t="str">
        <f>""</f>
        <v/>
      </c>
      <c r="G1349" t="s">
        <v>29</v>
      </c>
      <c r="H1349" t="s">
        <v>4679</v>
      </c>
      <c r="I1349" t="s">
        <v>4680</v>
      </c>
      <c r="J1349" t="s">
        <v>134</v>
      </c>
      <c r="K1349" t="str">
        <f>"5206254581"</f>
        <v>5206254581</v>
      </c>
      <c r="L1349" t="str">
        <f>"7362"</f>
        <v>7362</v>
      </c>
      <c r="M1349" t="str">
        <f>"5206482569"</f>
        <v>5206482569</v>
      </c>
      <c r="N1349" t="str">
        <f>""</f>
        <v/>
      </c>
      <c r="O1349" t="s">
        <v>4681</v>
      </c>
      <c r="P1349" t="s">
        <v>4682</v>
      </c>
      <c r="R1349" t="s">
        <v>4683</v>
      </c>
      <c r="S1349" t="s">
        <v>36</v>
      </c>
      <c r="T1349" t="str">
        <f>"85622"</f>
        <v>85622</v>
      </c>
      <c r="U1349" t="str">
        <f>""</f>
        <v/>
      </c>
      <c r="V1349" t="s">
        <v>4684</v>
      </c>
      <c r="X1349" t="s">
        <v>4683</v>
      </c>
      <c r="Y1349" t="s">
        <v>36</v>
      </c>
      <c r="Z1349" t="str">
        <f>"85614"</f>
        <v>85614</v>
      </c>
      <c r="AA1349" t="str">
        <f>""</f>
        <v/>
      </c>
      <c r="AB1349" t="s">
        <v>249</v>
      </c>
    </row>
    <row r="1350" spans="1:28" x14ac:dyDescent="0.25">
      <c r="A1350">
        <v>4416</v>
      </c>
      <c r="B1350" t="str">
        <f>"100339000"</f>
        <v>100339000</v>
      </c>
      <c r="C1350" t="s">
        <v>4678</v>
      </c>
      <c r="D1350">
        <v>5855</v>
      </c>
      <c r="E1350" t="str">
        <f>"100339001"</f>
        <v>100339001</v>
      </c>
      <c r="F1350" t="s">
        <v>4685</v>
      </c>
      <c r="G1350" t="s">
        <v>42</v>
      </c>
      <c r="H1350" t="s">
        <v>4686</v>
      </c>
      <c r="I1350" t="s">
        <v>4687</v>
      </c>
      <c r="J1350" t="s">
        <v>195</v>
      </c>
      <c r="K1350" t="str">
        <f>"5206254581"</f>
        <v>5206254581</v>
      </c>
      <c r="L1350" t="str">
        <f>"7322"</f>
        <v>7322</v>
      </c>
      <c r="M1350" t="str">
        <f>"5206482569"</f>
        <v>5206482569</v>
      </c>
      <c r="N1350" t="str">
        <f>""</f>
        <v/>
      </c>
      <c r="O1350" t="s">
        <v>4688</v>
      </c>
      <c r="P1350" t="s">
        <v>4682</v>
      </c>
      <c r="R1350" t="s">
        <v>4683</v>
      </c>
      <c r="S1350" t="s">
        <v>36</v>
      </c>
      <c r="T1350" t="str">
        <f>"85622"</f>
        <v>85622</v>
      </c>
      <c r="U1350" t="str">
        <f>""</f>
        <v/>
      </c>
      <c r="V1350" t="s">
        <v>4684</v>
      </c>
      <c r="X1350" t="s">
        <v>4683</v>
      </c>
      <c r="Y1350" t="s">
        <v>36</v>
      </c>
      <c r="Z1350" t="str">
        <f>"85614"</f>
        <v>85614</v>
      </c>
      <c r="AA1350" t="str">
        <f>""</f>
        <v/>
      </c>
      <c r="AB1350" t="s">
        <v>249</v>
      </c>
    </row>
    <row r="1351" spans="1:28" x14ac:dyDescent="0.25">
      <c r="A1351">
        <v>4418</v>
      </c>
      <c r="B1351" t="str">
        <f>"100351000"</f>
        <v>100351000</v>
      </c>
      <c r="C1351" t="s">
        <v>4689</v>
      </c>
      <c r="D1351">
        <v>0</v>
      </c>
      <c r="E1351" t="str">
        <f>""</f>
        <v/>
      </c>
      <c r="G1351" t="s">
        <v>29</v>
      </c>
      <c r="H1351" t="s">
        <v>442</v>
      </c>
      <c r="I1351" t="s">
        <v>2943</v>
      </c>
      <c r="J1351" t="s">
        <v>32</v>
      </c>
      <c r="K1351" t="str">
        <f>"5208229418"</f>
        <v>5208229418</v>
      </c>
      <c r="L1351" t="str">
        <f>"1030"</f>
        <v>1030</v>
      </c>
      <c r="M1351" t="str">
        <f>""</f>
        <v/>
      </c>
      <c r="N1351" t="str">
        <f>""</f>
        <v/>
      </c>
      <c r="O1351" t="s">
        <v>4690</v>
      </c>
      <c r="P1351" t="s">
        <v>4691</v>
      </c>
      <c r="R1351" t="s">
        <v>4169</v>
      </c>
      <c r="S1351" t="s">
        <v>36</v>
      </c>
      <c r="T1351" t="str">
        <f>"85736"</f>
        <v>85736</v>
      </c>
      <c r="U1351" t="str">
        <f>""</f>
        <v/>
      </c>
      <c r="V1351" t="s">
        <v>4692</v>
      </c>
      <c r="X1351" t="s">
        <v>4169</v>
      </c>
      <c r="Y1351" t="s">
        <v>36</v>
      </c>
      <c r="Z1351" t="str">
        <f>"85736"</f>
        <v>85736</v>
      </c>
      <c r="AA1351" t="str">
        <f>""</f>
        <v/>
      </c>
      <c r="AB1351" t="s">
        <v>217</v>
      </c>
    </row>
    <row r="1352" spans="1:28" x14ac:dyDescent="0.25">
      <c r="A1352">
        <v>4418</v>
      </c>
      <c r="B1352" t="str">
        <f>"100351000"</f>
        <v>100351000</v>
      </c>
      <c r="C1352" t="s">
        <v>4689</v>
      </c>
      <c r="D1352">
        <v>5859</v>
      </c>
      <c r="E1352" t="str">
        <f>"100351103"</f>
        <v>100351103</v>
      </c>
      <c r="F1352" t="s">
        <v>4693</v>
      </c>
      <c r="G1352" t="s">
        <v>42</v>
      </c>
      <c r="H1352" t="s">
        <v>442</v>
      </c>
      <c r="I1352" t="s">
        <v>2943</v>
      </c>
      <c r="J1352" t="s">
        <v>32</v>
      </c>
      <c r="K1352" t="str">
        <f>"5208229418"</f>
        <v>5208229418</v>
      </c>
      <c r="L1352" t="str">
        <f>"1031"</f>
        <v>1031</v>
      </c>
      <c r="M1352" t="str">
        <f>""</f>
        <v/>
      </c>
      <c r="N1352" t="str">
        <f>""</f>
        <v/>
      </c>
      <c r="O1352" t="s">
        <v>4690</v>
      </c>
      <c r="P1352" t="s">
        <v>4694</v>
      </c>
      <c r="R1352" t="s">
        <v>4169</v>
      </c>
      <c r="S1352" t="s">
        <v>36</v>
      </c>
      <c r="T1352" t="str">
        <f>"85736"</f>
        <v>85736</v>
      </c>
      <c r="U1352" t="str">
        <f>""</f>
        <v/>
      </c>
      <c r="V1352" t="s">
        <v>4695</v>
      </c>
      <c r="X1352" t="s">
        <v>4169</v>
      </c>
      <c r="Y1352" t="s">
        <v>36</v>
      </c>
      <c r="Z1352" t="str">
        <f>"85735"</f>
        <v>85735</v>
      </c>
      <c r="AA1352" t="str">
        <f>""</f>
        <v/>
      </c>
      <c r="AB1352" t="s">
        <v>217</v>
      </c>
    </row>
    <row r="1353" spans="1:28" x14ac:dyDescent="0.25">
      <c r="A1353">
        <v>4418</v>
      </c>
      <c r="B1353" t="str">
        <f>"100351000"</f>
        <v>100351000</v>
      </c>
      <c r="C1353" t="s">
        <v>4689</v>
      </c>
      <c r="D1353">
        <v>84336</v>
      </c>
      <c r="E1353" t="str">
        <f>"100351100"</f>
        <v>100351100</v>
      </c>
      <c r="F1353" t="s">
        <v>4696</v>
      </c>
      <c r="G1353" t="s">
        <v>42</v>
      </c>
      <c r="H1353" t="s">
        <v>442</v>
      </c>
      <c r="I1353" t="s">
        <v>2943</v>
      </c>
      <c r="J1353" t="s">
        <v>32</v>
      </c>
      <c r="K1353" t="str">
        <f>"5208229418"</f>
        <v>5208229418</v>
      </c>
      <c r="L1353" t="str">
        <f>"1031"</f>
        <v>1031</v>
      </c>
      <c r="M1353" t="str">
        <f>""</f>
        <v/>
      </c>
      <c r="N1353" t="str">
        <f>""</f>
        <v/>
      </c>
      <c r="O1353" t="s">
        <v>4690</v>
      </c>
      <c r="P1353" t="s">
        <v>4697</v>
      </c>
      <c r="R1353" t="s">
        <v>4169</v>
      </c>
      <c r="S1353" t="s">
        <v>36</v>
      </c>
      <c r="T1353" t="str">
        <f>"85736"</f>
        <v>85736</v>
      </c>
      <c r="U1353" t="str">
        <f>""</f>
        <v/>
      </c>
      <c r="V1353" t="s">
        <v>4698</v>
      </c>
      <c r="X1353" t="s">
        <v>4169</v>
      </c>
      <c r="Y1353" t="s">
        <v>36</v>
      </c>
      <c r="Z1353" t="str">
        <f>"85736"</f>
        <v>85736</v>
      </c>
      <c r="AA1353" t="str">
        <f>""</f>
        <v/>
      </c>
      <c r="AB1353" t="s">
        <v>217</v>
      </c>
    </row>
    <row r="1354" spans="1:28" x14ac:dyDescent="0.25">
      <c r="A1354">
        <v>4421</v>
      </c>
      <c r="B1354" t="str">
        <f>"108653000"</f>
        <v>108653000</v>
      </c>
      <c r="C1354" t="s">
        <v>4699</v>
      </c>
      <c r="D1354">
        <v>0</v>
      </c>
      <c r="E1354" t="str">
        <f>""</f>
        <v/>
      </c>
      <c r="G1354" t="s">
        <v>29</v>
      </c>
      <c r="H1354" t="s">
        <v>4700</v>
      </c>
      <c r="I1354" t="s">
        <v>4701</v>
      </c>
      <c r="J1354" t="s">
        <v>4702</v>
      </c>
      <c r="K1354" t="str">
        <f>"5208811389"</f>
        <v>5208811389</v>
      </c>
      <c r="L1354" t="str">
        <f>""</f>
        <v/>
      </c>
      <c r="M1354" t="str">
        <f>""</f>
        <v/>
      </c>
      <c r="N1354" t="str">
        <f>""</f>
        <v/>
      </c>
      <c r="O1354" t="s">
        <v>4703</v>
      </c>
      <c r="P1354" t="s">
        <v>4704</v>
      </c>
      <c r="Q1354" t="s">
        <v>4705</v>
      </c>
      <c r="R1354" t="s">
        <v>4169</v>
      </c>
      <c r="S1354" t="s">
        <v>36</v>
      </c>
      <c r="T1354" t="str">
        <f>"85716"</f>
        <v>85716</v>
      </c>
      <c r="U1354" t="str">
        <f>""</f>
        <v/>
      </c>
      <c r="V1354" t="s">
        <v>4704</v>
      </c>
      <c r="W1354" t="s">
        <v>4705</v>
      </c>
      <c r="X1354" t="s">
        <v>4169</v>
      </c>
      <c r="Y1354" t="s">
        <v>36</v>
      </c>
      <c r="Z1354" t="str">
        <f>"85716"</f>
        <v>85716</v>
      </c>
      <c r="AA1354" t="str">
        <f>""</f>
        <v/>
      </c>
      <c r="AB1354" t="s">
        <v>282</v>
      </c>
    </row>
    <row r="1355" spans="1:28" x14ac:dyDescent="0.25">
      <c r="A1355">
        <v>4421</v>
      </c>
      <c r="B1355" t="str">
        <f>"108653000"</f>
        <v>108653000</v>
      </c>
      <c r="C1355" t="s">
        <v>4699</v>
      </c>
      <c r="D1355">
        <v>5860</v>
      </c>
      <c r="E1355" t="str">
        <f>"108653001"</f>
        <v>108653001</v>
      </c>
      <c r="F1355" t="s">
        <v>4706</v>
      </c>
      <c r="G1355" t="s">
        <v>42</v>
      </c>
      <c r="H1355" t="s">
        <v>3791</v>
      </c>
      <c r="I1355" t="s">
        <v>2174</v>
      </c>
      <c r="J1355" t="s">
        <v>4702</v>
      </c>
      <c r="K1355" t="str">
        <f>"5208811389"</f>
        <v>5208811389</v>
      </c>
      <c r="L1355" t="str">
        <f>""</f>
        <v/>
      </c>
      <c r="M1355" t="str">
        <f>""</f>
        <v/>
      </c>
      <c r="N1355" t="str">
        <f>""</f>
        <v/>
      </c>
      <c r="O1355" t="s">
        <v>4707</v>
      </c>
      <c r="P1355" t="s">
        <v>4708</v>
      </c>
      <c r="R1355" t="s">
        <v>4169</v>
      </c>
      <c r="S1355" t="s">
        <v>36</v>
      </c>
      <c r="T1355" t="str">
        <f>"85716"</f>
        <v>85716</v>
      </c>
      <c r="U1355" t="str">
        <f>""</f>
        <v/>
      </c>
      <c r="V1355" t="s">
        <v>4708</v>
      </c>
      <c r="X1355" t="s">
        <v>4169</v>
      </c>
      <c r="Y1355" t="s">
        <v>36</v>
      </c>
      <c r="Z1355" t="str">
        <f>"85716"</f>
        <v>85716</v>
      </c>
      <c r="AA1355" t="str">
        <f>""</f>
        <v/>
      </c>
      <c r="AB1355" t="s">
        <v>282</v>
      </c>
    </row>
    <row r="1356" spans="1:28" x14ac:dyDescent="0.25">
      <c r="A1356">
        <v>4422</v>
      </c>
      <c r="B1356" t="str">
        <f>"108660000"</f>
        <v>108660000</v>
      </c>
      <c r="C1356" t="s">
        <v>4709</v>
      </c>
      <c r="D1356">
        <v>0</v>
      </c>
      <c r="E1356" t="str">
        <f>""</f>
        <v/>
      </c>
      <c r="G1356" t="s">
        <v>29</v>
      </c>
      <c r="H1356" t="s">
        <v>969</v>
      </c>
      <c r="I1356" t="s">
        <v>4710</v>
      </c>
      <c r="J1356" t="s">
        <v>486</v>
      </c>
      <c r="K1356" t="str">
        <f>"5206288316"</f>
        <v>5206288316</v>
      </c>
      <c r="L1356" t="str">
        <f>""</f>
        <v/>
      </c>
      <c r="M1356" t="str">
        <f>"5206282820"</f>
        <v>5206282820</v>
      </c>
      <c r="N1356" t="str">
        <f>""</f>
        <v/>
      </c>
      <c r="O1356" t="s">
        <v>4711</v>
      </c>
      <c r="P1356" t="s">
        <v>4712</v>
      </c>
      <c r="R1356" t="s">
        <v>4169</v>
      </c>
      <c r="S1356" t="s">
        <v>36</v>
      </c>
      <c r="T1356" t="str">
        <f>"85705"</f>
        <v>85705</v>
      </c>
      <c r="U1356" t="str">
        <f>""</f>
        <v/>
      </c>
      <c r="V1356" t="s">
        <v>4712</v>
      </c>
      <c r="X1356" t="s">
        <v>4169</v>
      </c>
      <c r="Y1356" t="s">
        <v>36</v>
      </c>
      <c r="Z1356" t="str">
        <f>"85705"</f>
        <v>85705</v>
      </c>
      <c r="AA1356" t="str">
        <f>""</f>
        <v/>
      </c>
      <c r="AB1356" t="s">
        <v>156</v>
      </c>
    </row>
    <row r="1357" spans="1:28" x14ac:dyDescent="0.25">
      <c r="A1357">
        <v>4422</v>
      </c>
      <c r="B1357" t="str">
        <f>"108660000"</f>
        <v>108660000</v>
      </c>
      <c r="C1357" t="s">
        <v>4709</v>
      </c>
      <c r="D1357">
        <v>5861</v>
      </c>
      <c r="E1357" t="str">
        <f>"108660201"</f>
        <v>108660201</v>
      </c>
      <c r="F1357" t="s">
        <v>4713</v>
      </c>
      <c r="G1357" t="s">
        <v>42</v>
      </c>
      <c r="H1357" t="s">
        <v>4714</v>
      </c>
      <c r="I1357" t="s">
        <v>4715</v>
      </c>
      <c r="J1357" t="s">
        <v>4716</v>
      </c>
      <c r="K1357" t="str">
        <f>"5206288316"</f>
        <v>5206288316</v>
      </c>
      <c r="L1357" t="str">
        <f>""</f>
        <v/>
      </c>
      <c r="M1357" t="str">
        <f>"5206282820"</f>
        <v>5206282820</v>
      </c>
      <c r="N1357" t="str">
        <f>""</f>
        <v/>
      </c>
      <c r="O1357" t="s">
        <v>4717</v>
      </c>
      <c r="P1357" t="s">
        <v>4718</v>
      </c>
      <c r="R1357" t="s">
        <v>4169</v>
      </c>
      <c r="S1357" t="s">
        <v>36</v>
      </c>
      <c r="T1357" t="str">
        <f>"85705"</f>
        <v>85705</v>
      </c>
      <c r="U1357" t="str">
        <f>""</f>
        <v/>
      </c>
      <c r="V1357" t="s">
        <v>4718</v>
      </c>
      <c r="X1357" t="s">
        <v>4169</v>
      </c>
      <c r="Y1357" t="s">
        <v>36</v>
      </c>
      <c r="Z1357" t="str">
        <f>"85705"</f>
        <v>85705</v>
      </c>
      <c r="AA1357" t="str">
        <f>""</f>
        <v/>
      </c>
      <c r="AB1357" t="s">
        <v>156</v>
      </c>
    </row>
    <row r="1358" spans="1:28" x14ac:dyDescent="0.25">
      <c r="A1358">
        <v>4422</v>
      </c>
      <c r="B1358" t="str">
        <f>"108660000"</f>
        <v>108660000</v>
      </c>
      <c r="C1358" t="s">
        <v>4709</v>
      </c>
      <c r="D1358">
        <v>90286</v>
      </c>
      <c r="E1358" t="str">
        <f>"108660202"</f>
        <v>108660202</v>
      </c>
      <c r="F1358" t="s">
        <v>4719</v>
      </c>
      <c r="G1358" t="s">
        <v>42</v>
      </c>
      <c r="H1358" t="s">
        <v>4714</v>
      </c>
      <c r="I1358" t="s">
        <v>4715</v>
      </c>
      <c r="J1358" t="s">
        <v>4720</v>
      </c>
      <c r="K1358" t="str">
        <f>"5206288316"</f>
        <v>5206288316</v>
      </c>
      <c r="L1358" t="str">
        <f>""</f>
        <v/>
      </c>
      <c r="M1358" t="str">
        <f>"5206282820"</f>
        <v>5206282820</v>
      </c>
      <c r="N1358" t="str">
        <f>""</f>
        <v/>
      </c>
      <c r="O1358" t="s">
        <v>4717</v>
      </c>
      <c r="P1358" t="s">
        <v>4712</v>
      </c>
      <c r="R1358" t="s">
        <v>4169</v>
      </c>
      <c r="S1358" t="s">
        <v>36</v>
      </c>
      <c r="T1358" t="str">
        <f>"85705"</f>
        <v>85705</v>
      </c>
      <c r="U1358" t="str">
        <f>""</f>
        <v/>
      </c>
      <c r="V1358" t="s">
        <v>4721</v>
      </c>
      <c r="X1358" t="s">
        <v>4169</v>
      </c>
      <c r="Y1358" t="s">
        <v>36</v>
      </c>
      <c r="Z1358" t="str">
        <f>"85713"</f>
        <v>85713</v>
      </c>
      <c r="AA1358" t="str">
        <f>""</f>
        <v/>
      </c>
      <c r="AB1358" t="s">
        <v>156</v>
      </c>
    </row>
    <row r="1359" spans="1:28" x14ac:dyDescent="0.25">
      <c r="A1359">
        <v>4425</v>
      </c>
      <c r="B1359" t="str">
        <f>"108778000"</f>
        <v>108778000</v>
      </c>
      <c r="C1359" t="s">
        <v>4722</v>
      </c>
      <c r="D1359">
        <v>0</v>
      </c>
      <c r="E1359" t="str">
        <f>""</f>
        <v/>
      </c>
      <c r="G1359" t="s">
        <v>29</v>
      </c>
      <c r="H1359" t="s">
        <v>3102</v>
      </c>
      <c r="I1359" t="s">
        <v>4723</v>
      </c>
      <c r="J1359" t="s">
        <v>32</v>
      </c>
      <c r="K1359" t="str">
        <f>"5208815222"</f>
        <v>5208815222</v>
      </c>
      <c r="L1359" t="str">
        <f>""</f>
        <v/>
      </c>
      <c r="M1359" t="str">
        <f>"5208815522"</f>
        <v>5208815522</v>
      </c>
      <c r="N1359" t="str">
        <f>""</f>
        <v/>
      </c>
      <c r="O1359" t="s">
        <v>4724</v>
      </c>
      <c r="P1359" t="s">
        <v>4725</v>
      </c>
      <c r="R1359" t="s">
        <v>4169</v>
      </c>
      <c r="S1359" t="s">
        <v>36</v>
      </c>
      <c r="T1359" t="str">
        <f>"85719"</f>
        <v>85719</v>
      </c>
      <c r="U1359" t="str">
        <f>""</f>
        <v/>
      </c>
      <c r="V1359" t="s">
        <v>4725</v>
      </c>
      <c r="X1359" t="s">
        <v>4169</v>
      </c>
      <c r="Y1359" t="s">
        <v>36</v>
      </c>
      <c r="Z1359" t="str">
        <f>"85719"</f>
        <v>85719</v>
      </c>
      <c r="AA1359" t="str">
        <f>""</f>
        <v/>
      </c>
      <c r="AB1359" t="s">
        <v>4726</v>
      </c>
    </row>
    <row r="1360" spans="1:28" x14ac:dyDescent="0.25">
      <c r="A1360">
        <v>4425</v>
      </c>
      <c r="B1360" t="str">
        <f>"108778000"</f>
        <v>108778000</v>
      </c>
      <c r="C1360" t="s">
        <v>4722</v>
      </c>
      <c r="D1360">
        <v>5865</v>
      </c>
      <c r="E1360" t="str">
        <f>"108778201"</f>
        <v>108778201</v>
      </c>
      <c r="F1360" t="s">
        <v>4722</v>
      </c>
      <c r="G1360" t="s">
        <v>42</v>
      </c>
      <c r="H1360" t="s">
        <v>3102</v>
      </c>
      <c r="I1360" t="s">
        <v>4723</v>
      </c>
      <c r="J1360" t="s">
        <v>3734</v>
      </c>
      <c r="K1360" t="str">
        <f>"5208815222"</f>
        <v>5208815222</v>
      </c>
      <c r="L1360" t="str">
        <f>""</f>
        <v/>
      </c>
      <c r="M1360" t="str">
        <f>"5208815522"</f>
        <v>5208815522</v>
      </c>
      <c r="N1360" t="str">
        <f>""</f>
        <v/>
      </c>
      <c r="O1360" t="s">
        <v>4724</v>
      </c>
      <c r="P1360" t="s">
        <v>4727</v>
      </c>
      <c r="R1360" t="s">
        <v>4169</v>
      </c>
      <c r="S1360" t="s">
        <v>36</v>
      </c>
      <c r="T1360" t="str">
        <f>"85719"</f>
        <v>85719</v>
      </c>
      <c r="U1360" t="str">
        <f>""</f>
        <v/>
      </c>
      <c r="V1360" t="s">
        <v>4727</v>
      </c>
      <c r="X1360" t="s">
        <v>4169</v>
      </c>
      <c r="Y1360" t="s">
        <v>36</v>
      </c>
      <c r="Z1360" t="str">
        <f>"85719"</f>
        <v>85719</v>
      </c>
      <c r="AA1360" t="str">
        <f>""</f>
        <v/>
      </c>
      <c r="AB1360" t="s">
        <v>4726</v>
      </c>
    </row>
    <row r="1361" spans="1:28" x14ac:dyDescent="0.25">
      <c r="A1361">
        <v>4431</v>
      </c>
      <c r="B1361" t="str">
        <f t="shared" ref="B1361:B1367" si="232">"108744000"</f>
        <v>108744000</v>
      </c>
      <c r="C1361" t="s">
        <v>4728</v>
      </c>
      <c r="D1361">
        <v>0</v>
      </c>
      <c r="E1361" t="str">
        <f>""</f>
        <v/>
      </c>
      <c r="G1361" t="s">
        <v>29</v>
      </c>
      <c r="H1361" t="s">
        <v>4729</v>
      </c>
      <c r="I1361" t="s">
        <v>4730</v>
      </c>
      <c r="J1361" t="s">
        <v>4731</v>
      </c>
      <c r="K1361" t="str">
        <f t="shared" ref="K1361:K1367" si="233">"5207414374"</f>
        <v>5207414374</v>
      </c>
      <c r="L1361" t="str">
        <f>""</f>
        <v/>
      </c>
      <c r="M1361" t="str">
        <f>"5202947738"</f>
        <v>5202947738</v>
      </c>
      <c r="N1361" t="str">
        <f>""</f>
        <v/>
      </c>
      <c r="O1361" t="s">
        <v>4732</v>
      </c>
      <c r="P1361" t="s">
        <v>4733</v>
      </c>
      <c r="R1361" t="s">
        <v>4169</v>
      </c>
      <c r="S1361" t="s">
        <v>36</v>
      </c>
      <c r="T1361" t="str">
        <f>"85714"</f>
        <v>85714</v>
      </c>
      <c r="U1361" t="str">
        <f>""</f>
        <v/>
      </c>
      <c r="V1361" t="s">
        <v>4733</v>
      </c>
      <c r="X1361" t="s">
        <v>4169</v>
      </c>
      <c r="Y1361" t="s">
        <v>36</v>
      </c>
      <c r="Z1361" t="str">
        <f>"85714"</f>
        <v>85714</v>
      </c>
      <c r="AA1361" t="str">
        <f>""</f>
        <v/>
      </c>
      <c r="AB1361" t="s">
        <v>86</v>
      </c>
    </row>
    <row r="1362" spans="1:28" x14ac:dyDescent="0.25">
      <c r="A1362">
        <v>4431</v>
      </c>
      <c r="B1362" t="str">
        <f t="shared" si="232"/>
        <v>108744000</v>
      </c>
      <c r="C1362" t="s">
        <v>4728</v>
      </c>
      <c r="D1362">
        <v>5873</v>
      </c>
      <c r="E1362" t="str">
        <f>"108744201"</f>
        <v>108744201</v>
      </c>
      <c r="F1362" t="s">
        <v>4734</v>
      </c>
      <c r="G1362" t="s">
        <v>42</v>
      </c>
      <c r="H1362" t="s">
        <v>4729</v>
      </c>
      <c r="I1362" t="s">
        <v>4730</v>
      </c>
      <c r="J1362" t="s">
        <v>4735</v>
      </c>
      <c r="K1362" t="str">
        <f t="shared" si="233"/>
        <v>5207414374</v>
      </c>
      <c r="L1362" t="str">
        <f>""</f>
        <v/>
      </c>
      <c r="M1362" t="str">
        <f>"5202947730"</f>
        <v>5202947730</v>
      </c>
      <c r="N1362" t="str">
        <f>""</f>
        <v/>
      </c>
      <c r="O1362" t="s">
        <v>4732</v>
      </c>
      <c r="P1362" t="s">
        <v>4733</v>
      </c>
      <c r="R1362" t="s">
        <v>4169</v>
      </c>
      <c r="S1362" t="s">
        <v>36</v>
      </c>
      <c r="T1362" t="str">
        <f>"85714"</f>
        <v>85714</v>
      </c>
      <c r="U1362" t="str">
        <f>""</f>
        <v/>
      </c>
      <c r="V1362" t="s">
        <v>4733</v>
      </c>
      <c r="X1362" t="s">
        <v>4169</v>
      </c>
      <c r="Y1362" t="s">
        <v>36</v>
      </c>
      <c r="Z1362" t="str">
        <f>"85714"</f>
        <v>85714</v>
      </c>
      <c r="AA1362" t="str">
        <f>""</f>
        <v/>
      </c>
      <c r="AB1362" t="s">
        <v>86</v>
      </c>
    </row>
    <row r="1363" spans="1:28" x14ac:dyDescent="0.25">
      <c r="A1363">
        <v>4431</v>
      </c>
      <c r="B1363" t="str">
        <f t="shared" si="232"/>
        <v>108744000</v>
      </c>
      <c r="C1363" t="s">
        <v>4728</v>
      </c>
      <c r="D1363">
        <v>5876</v>
      </c>
      <c r="E1363" t="str">
        <f>"108744204"</f>
        <v>108744204</v>
      </c>
      <c r="F1363" t="s">
        <v>4736</v>
      </c>
      <c r="G1363" t="s">
        <v>42</v>
      </c>
      <c r="H1363" t="s">
        <v>4729</v>
      </c>
      <c r="I1363" t="s">
        <v>4730</v>
      </c>
      <c r="J1363" t="s">
        <v>4735</v>
      </c>
      <c r="K1363" t="str">
        <f t="shared" si="233"/>
        <v>5207414374</v>
      </c>
      <c r="L1363" t="str">
        <f>""</f>
        <v/>
      </c>
      <c r="M1363" t="str">
        <f>"5202947738"</f>
        <v>5202947738</v>
      </c>
      <c r="N1363" t="str">
        <f>""</f>
        <v/>
      </c>
      <c r="O1363" t="s">
        <v>4732</v>
      </c>
      <c r="P1363" t="s">
        <v>4733</v>
      </c>
      <c r="R1363" t="s">
        <v>4169</v>
      </c>
      <c r="S1363" t="s">
        <v>36</v>
      </c>
      <c r="T1363" t="str">
        <f>"85714"</f>
        <v>85714</v>
      </c>
      <c r="U1363" t="str">
        <f>""</f>
        <v/>
      </c>
      <c r="V1363" t="s">
        <v>4737</v>
      </c>
      <c r="X1363" t="s">
        <v>4738</v>
      </c>
      <c r="Y1363" t="s">
        <v>36</v>
      </c>
      <c r="Z1363" t="str">
        <f>"85122"</f>
        <v>85122</v>
      </c>
      <c r="AA1363" t="str">
        <f>""</f>
        <v/>
      </c>
      <c r="AB1363" t="s">
        <v>86</v>
      </c>
    </row>
    <row r="1364" spans="1:28" x14ac:dyDescent="0.25">
      <c r="A1364">
        <v>4431</v>
      </c>
      <c r="B1364" t="str">
        <f t="shared" si="232"/>
        <v>108744000</v>
      </c>
      <c r="C1364" t="s">
        <v>4728</v>
      </c>
      <c r="D1364">
        <v>5877</v>
      </c>
      <c r="E1364" t="str">
        <f>"108744205"</f>
        <v>108744205</v>
      </c>
      <c r="F1364" t="s">
        <v>4739</v>
      </c>
      <c r="G1364" t="s">
        <v>42</v>
      </c>
      <c r="H1364" t="s">
        <v>4729</v>
      </c>
      <c r="I1364" t="s">
        <v>4730</v>
      </c>
      <c r="J1364" t="s">
        <v>4740</v>
      </c>
      <c r="K1364" t="str">
        <f t="shared" si="233"/>
        <v>5207414374</v>
      </c>
      <c r="L1364" t="str">
        <f>""</f>
        <v/>
      </c>
      <c r="M1364" t="str">
        <f>"5202947738"</f>
        <v>5202947738</v>
      </c>
      <c r="N1364" t="str">
        <f>""</f>
        <v/>
      </c>
      <c r="O1364" t="s">
        <v>4732</v>
      </c>
      <c r="P1364" t="s">
        <v>4733</v>
      </c>
      <c r="R1364" t="s">
        <v>4169</v>
      </c>
      <c r="S1364" t="s">
        <v>36</v>
      </c>
      <c r="T1364" t="str">
        <f>"85730"</f>
        <v>85730</v>
      </c>
      <c r="U1364" t="str">
        <f>""</f>
        <v/>
      </c>
      <c r="V1364" t="s">
        <v>4741</v>
      </c>
      <c r="X1364" t="s">
        <v>336</v>
      </c>
      <c r="Y1364" t="s">
        <v>36</v>
      </c>
      <c r="Z1364" t="str">
        <f>"85607"</f>
        <v>85607</v>
      </c>
      <c r="AA1364" t="str">
        <f>""</f>
        <v/>
      </c>
      <c r="AB1364" t="s">
        <v>86</v>
      </c>
    </row>
    <row r="1365" spans="1:28" x14ac:dyDescent="0.25">
      <c r="A1365">
        <v>4431</v>
      </c>
      <c r="B1365" t="str">
        <f t="shared" si="232"/>
        <v>108744000</v>
      </c>
      <c r="C1365" t="s">
        <v>4728</v>
      </c>
      <c r="D1365">
        <v>5878</v>
      </c>
      <c r="E1365" t="str">
        <f>"108744206"</f>
        <v>108744206</v>
      </c>
      <c r="F1365" t="s">
        <v>4742</v>
      </c>
      <c r="G1365" t="s">
        <v>42</v>
      </c>
      <c r="H1365" t="s">
        <v>4729</v>
      </c>
      <c r="I1365" t="s">
        <v>4730</v>
      </c>
      <c r="J1365" t="s">
        <v>4740</v>
      </c>
      <c r="K1365" t="str">
        <f t="shared" si="233"/>
        <v>5207414374</v>
      </c>
      <c r="L1365" t="str">
        <f>""</f>
        <v/>
      </c>
      <c r="M1365" t="str">
        <f>"5202947738"</f>
        <v>5202947738</v>
      </c>
      <c r="N1365" t="str">
        <f>""</f>
        <v/>
      </c>
      <c r="O1365" t="s">
        <v>4732</v>
      </c>
      <c r="P1365" t="s">
        <v>4733</v>
      </c>
      <c r="R1365" t="s">
        <v>4169</v>
      </c>
      <c r="S1365" t="s">
        <v>36</v>
      </c>
      <c r="T1365" t="str">
        <f>"85714"</f>
        <v>85714</v>
      </c>
      <c r="U1365" t="str">
        <f>""</f>
        <v/>
      </c>
      <c r="V1365" t="s">
        <v>4743</v>
      </c>
      <c r="X1365" t="s">
        <v>4744</v>
      </c>
      <c r="Y1365" t="s">
        <v>36</v>
      </c>
      <c r="Z1365" t="str">
        <f>"85349"</f>
        <v>85349</v>
      </c>
      <c r="AA1365" t="str">
        <f>""</f>
        <v/>
      </c>
      <c r="AB1365" t="s">
        <v>86</v>
      </c>
    </row>
    <row r="1366" spans="1:28" x14ac:dyDescent="0.25">
      <c r="A1366">
        <v>4431</v>
      </c>
      <c r="B1366" t="str">
        <f t="shared" si="232"/>
        <v>108744000</v>
      </c>
      <c r="C1366" t="s">
        <v>4728</v>
      </c>
      <c r="D1366">
        <v>5879</v>
      </c>
      <c r="E1366" t="str">
        <f>"108744207"</f>
        <v>108744207</v>
      </c>
      <c r="F1366" t="s">
        <v>4745</v>
      </c>
      <c r="G1366" t="s">
        <v>42</v>
      </c>
      <c r="H1366" t="s">
        <v>4729</v>
      </c>
      <c r="I1366" t="s">
        <v>4730</v>
      </c>
      <c r="J1366" t="s">
        <v>4735</v>
      </c>
      <c r="K1366" t="str">
        <f t="shared" si="233"/>
        <v>5207414374</v>
      </c>
      <c r="L1366" t="str">
        <f>""</f>
        <v/>
      </c>
      <c r="M1366" t="str">
        <f>"5202947738"</f>
        <v>5202947738</v>
      </c>
      <c r="N1366" t="str">
        <f>""</f>
        <v/>
      </c>
      <c r="O1366" t="s">
        <v>4732</v>
      </c>
      <c r="P1366" t="s">
        <v>4733</v>
      </c>
      <c r="R1366" t="s">
        <v>4169</v>
      </c>
      <c r="S1366" t="s">
        <v>36</v>
      </c>
      <c r="T1366" t="str">
        <f>"85714"</f>
        <v>85714</v>
      </c>
      <c r="U1366" t="str">
        <f>""</f>
        <v/>
      </c>
      <c r="V1366" t="s">
        <v>4746</v>
      </c>
      <c r="X1366" t="s">
        <v>4747</v>
      </c>
      <c r="Y1366" t="s">
        <v>36</v>
      </c>
      <c r="Z1366" t="str">
        <f>"85350"</f>
        <v>85350</v>
      </c>
      <c r="AA1366" t="str">
        <f>""</f>
        <v/>
      </c>
      <c r="AB1366" t="s">
        <v>86</v>
      </c>
    </row>
    <row r="1367" spans="1:28" x14ac:dyDescent="0.25">
      <c r="A1367">
        <v>4431</v>
      </c>
      <c r="B1367" t="str">
        <f t="shared" si="232"/>
        <v>108744000</v>
      </c>
      <c r="C1367" t="s">
        <v>4728</v>
      </c>
      <c r="D1367">
        <v>5880</v>
      </c>
      <c r="E1367" t="str">
        <f>"108744208"</f>
        <v>108744208</v>
      </c>
      <c r="F1367" t="s">
        <v>4748</v>
      </c>
      <c r="G1367" t="s">
        <v>42</v>
      </c>
      <c r="H1367" t="s">
        <v>4729</v>
      </c>
      <c r="I1367" t="s">
        <v>4730</v>
      </c>
      <c r="J1367" t="s">
        <v>4740</v>
      </c>
      <c r="K1367" t="str">
        <f t="shared" si="233"/>
        <v>5207414374</v>
      </c>
      <c r="L1367" t="str">
        <f>""</f>
        <v/>
      </c>
      <c r="M1367" t="str">
        <f>"5202947738"</f>
        <v>5202947738</v>
      </c>
      <c r="N1367" t="str">
        <f>""</f>
        <v/>
      </c>
      <c r="O1367" t="s">
        <v>4732</v>
      </c>
      <c r="P1367" t="s">
        <v>4733</v>
      </c>
      <c r="R1367" t="s">
        <v>4169</v>
      </c>
      <c r="S1367" t="s">
        <v>36</v>
      </c>
      <c r="T1367" t="str">
        <f>"85714"</f>
        <v>85714</v>
      </c>
      <c r="U1367" t="str">
        <f>""</f>
        <v/>
      </c>
      <c r="V1367" t="s">
        <v>4749</v>
      </c>
      <c r="W1367" t="s">
        <v>4750</v>
      </c>
      <c r="X1367" t="s">
        <v>365</v>
      </c>
      <c r="Y1367" t="s">
        <v>36</v>
      </c>
      <c r="Z1367" t="str">
        <f>"85635"</f>
        <v>85635</v>
      </c>
      <c r="AA1367" t="str">
        <f>""</f>
        <v/>
      </c>
      <c r="AB1367" t="s">
        <v>86</v>
      </c>
    </row>
    <row r="1368" spans="1:28" x14ac:dyDescent="0.25">
      <c r="A1368">
        <v>4435</v>
      </c>
      <c r="B1368" t="str">
        <f>"110100000"</f>
        <v>110100000</v>
      </c>
      <c r="C1368" t="s">
        <v>4751</v>
      </c>
      <c r="D1368">
        <v>0</v>
      </c>
      <c r="E1368" t="str">
        <f>""</f>
        <v/>
      </c>
      <c r="G1368" t="s">
        <v>29</v>
      </c>
      <c r="H1368" t="s">
        <v>3485</v>
      </c>
      <c r="I1368" t="s">
        <v>4752</v>
      </c>
      <c r="J1368" t="s">
        <v>32</v>
      </c>
      <c r="K1368" t="str">
        <f>"5204504435"</f>
        <v>5204504435</v>
      </c>
      <c r="L1368" t="str">
        <f>"4435"</f>
        <v>4435</v>
      </c>
      <c r="M1368" t="str">
        <f>"5204504302"</f>
        <v>5204504302</v>
      </c>
      <c r="N1368" t="str">
        <f>""</f>
        <v/>
      </c>
      <c r="O1368" t="s">
        <v>4753</v>
      </c>
      <c r="P1368" t="s">
        <v>4754</v>
      </c>
      <c r="R1368" t="s">
        <v>4755</v>
      </c>
      <c r="S1368" t="s">
        <v>36</v>
      </c>
      <c r="T1368" t="str">
        <f>"85231"</f>
        <v>85231</v>
      </c>
      <c r="U1368" t="str">
        <f>""</f>
        <v/>
      </c>
      <c r="V1368" t="s">
        <v>4756</v>
      </c>
      <c r="X1368" t="s">
        <v>4738</v>
      </c>
      <c r="Y1368" t="s">
        <v>36</v>
      </c>
      <c r="Z1368" t="str">
        <f>"85194"</f>
        <v>85194</v>
      </c>
      <c r="AA1368" t="str">
        <f>""</f>
        <v/>
      </c>
      <c r="AB1368" t="s">
        <v>124</v>
      </c>
    </row>
    <row r="1369" spans="1:28" x14ac:dyDescent="0.25">
      <c r="A1369">
        <v>4435</v>
      </c>
      <c r="B1369" t="str">
        <f>"110100000"</f>
        <v>110100000</v>
      </c>
      <c r="C1369" t="s">
        <v>4751</v>
      </c>
      <c r="D1369">
        <v>5893</v>
      </c>
      <c r="E1369" t="str">
        <f>"110100001"</f>
        <v>110100001</v>
      </c>
      <c r="F1369" t="s">
        <v>4757</v>
      </c>
      <c r="G1369" t="s">
        <v>42</v>
      </c>
      <c r="H1369" t="s">
        <v>3485</v>
      </c>
      <c r="I1369" t="s">
        <v>4752</v>
      </c>
      <c r="J1369" t="s">
        <v>195</v>
      </c>
      <c r="K1369" t="str">
        <f>"5204504435"</f>
        <v>5204504435</v>
      </c>
      <c r="L1369" t="str">
        <f>""</f>
        <v/>
      </c>
      <c r="M1369" t="str">
        <f>"5204504302"</f>
        <v>5204504302</v>
      </c>
      <c r="N1369" t="str">
        <f>""</f>
        <v/>
      </c>
      <c r="O1369" t="s">
        <v>4753</v>
      </c>
      <c r="P1369" t="s">
        <v>4758</v>
      </c>
      <c r="R1369" t="s">
        <v>4755</v>
      </c>
      <c r="S1369" t="s">
        <v>36</v>
      </c>
      <c r="T1369" t="str">
        <f>"85231"</f>
        <v>85231</v>
      </c>
      <c r="U1369" t="str">
        <f>"3117"</f>
        <v>3117</v>
      </c>
      <c r="V1369" t="s">
        <v>4759</v>
      </c>
      <c r="X1369" t="s">
        <v>4738</v>
      </c>
      <c r="Y1369" t="s">
        <v>36</v>
      </c>
      <c r="Z1369" t="str">
        <f>"85194"</f>
        <v>85194</v>
      </c>
      <c r="AA1369" t="str">
        <f>""</f>
        <v/>
      </c>
      <c r="AB1369" t="s">
        <v>124</v>
      </c>
    </row>
    <row r="1370" spans="1:28" x14ac:dyDescent="0.25">
      <c r="A1370">
        <v>4435</v>
      </c>
      <c r="B1370" t="str">
        <f>"110100000"</f>
        <v>110100000</v>
      </c>
      <c r="C1370" t="s">
        <v>4751</v>
      </c>
      <c r="D1370">
        <v>6067</v>
      </c>
      <c r="E1370" t="str">
        <f>"110100003"</f>
        <v>110100003</v>
      </c>
      <c r="F1370" t="s">
        <v>4760</v>
      </c>
      <c r="G1370" t="s">
        <v>42</v>
      </c>
      <c r="H1370" t="s">
        <v>3485</v>
      </c>
      <c r="I1370" t="s">
        <v>4752</v>
      </c>
      <c r="J1370" t="s">
        <v>195</v>
      </c>
      <c r="K1370" t="str">
        <f>"5204504435"</f>
        <v>5204504435</v>
      </c>
      <c r="L1370" t="str">
        <f>""</f>
        <v/>
      </c>
      <c r="M1370" t="str">
        <f>"5204504302"</f>
        <v>5204504302</v>
      </c>
      <c r="N1370" t="str">
        <f>""</f>
        <v/>
      </c>
      <c r="O1370" t="s">
        <v>4753</v>
      </c>
      <c r="P1370" t="s">
        <v>4758</v>
      </c>
      <c r="R1370" t="s">
        <v>4755</v>
      </c>
      <c r="S1370" t="s">
        <v>36</v>
      </c>
      <c r="T1370" t="str">
        <f>"85231"</f>
        <v>85231</v>
      </c>
      <c r="U1370" t="str">
        <f>"3117"</f>
        <v>3117</v>
      </c>
      <c r="V1370" t="s">
        <v>4754</v>
      </c>
      <c r="X1370" t="s">
        <v>4755</v>
      </c>
      <c r="Y1370" t="s">
        <v>36</v>
      </c>
      <c r="Z1370" t="str">
        <f>"85231"</f>
        <v>85231</v>
      </c>
      <c r="AA1370" t="str">
        <f>""</f>
        <v/>
      </c>
      <c r="AB1370" t="s">
        <v>124</v>
      </c>
    </row>
    <row r="1371" spans="1:28" x14ac:dyDescent="0.25">
      <c r="A1371">
        <v>4437</v>
      </c>
      <c r="B1371" t="str">
        <f t="shared" ref="B1371:B1383" si="234">"110201000"</f>
        <v>110201000</v>
      </c>
      <c r="C1371" t="s">
        <v>4761</v>
      </c>
      <c r="D1371">
        <v>0</v>
      </c>
      <c r="E1371" t="str">
        <f>""</f>
        <v/>
      </c>
      <c r="G1371" t="s">
        <v>29</v>
      </c>
      <c r="H1371" t="s">
        <v>4762</v>
      </c>
      <c r="I1371" t="s">
        <v>4763</v>
      </c>
      <c r="J1371" t="s">
        <v>32</v>
      </c>
      <c r="K1371" t="str">
        <f>"5208663531"</f>
        <v>5208663531</v>
      </c>
      <c r="L1371" t="str">
        <f>""</f>
        <v/>
      </c>
      <c r="M1371" t="str">
        <f>""</f>
        <v/>
      </c>
      <c r="N1371" t="str">
        <f>""</f>
        <v/>
      </c>
      <c r="O1371" t="s">
        <v>4764</v>
      </c>
      <c r="P1371" t="s">
        <v>4765</v>
      </c>
      <c r="R1371" t="s">
        <v>3771</v>
      </c>
      <c r="S1371" t="s">
        <v>36</v>
      </c>
      <c r="T1371" t="str">
        <f>"85132"</f>
        <v>85132</v>
      </c>
      <c r="U1371" t="str">
        <f>""</f>
        <v/>
      </c>
      <c r="V1371" t="s">
        <v>4766</v>
      </c>
      <c r="X1371" t="s">
        <v>3771</v>
      </c>
      <c r="Y1371" t="s">
        <v>36</v>
      </c>
      <c r="Z1371" t="str">
        <f>"85132"</f>
        <v>85132</v>
      </c>
      <c r="AA1371" t="str">
        <f>""</f>
        <v/>
      </c>
      <c r="AB1371" t="s">
        <v>56</v>
      </c>
    </row>
    <row r="1372" spans="1:28" x14ac:dyDescent="0.25">
      <c r="A1372">
        <v>4437</v>
      </c>
      <c r="B1372" t="str">
        <f t="shared" si="234"/>
        <v>110201000</v>
      </c>
      <c r="C1372" t="s">
        <v>4761</v>
      </c>
      <c r="D1372">
        <v>5895</v>
      </c>
      <c r="E1372" t="str">
        <f>"110201101"</f>
        <v>110201101</v>
      </c>
      <c r="F1372" t="s">
        <v>4767</v>
      </c>
      <c r="G1372" t="s">
        <v>42</v>
      </c>
      <c r="H1372" t="s">
        <v>1595</v>
      </c>
      <c r="I1372" t="s">
        <v>2619</v>
      </c>
      <c r="J1372" t="s">
        <v>520</v>
      </c>
      <c r="K1372" t="str">
        <f>"5208663547"</f>
        <v>5208663547</v>
      </c>
      <c r="L1372" t="str">
        <f>""</f>
        <v/>
      </c>
      <c r="M1372" t="str">
        <f>""</f>
        <v/>
      </c>
      <c r="N1372" t="str">
        <f>""</f>
        <v/>
      </c>
      <c r="O1372" t="s">
        <v>4768</v>
      </c>
      <c r="P1372" t="s">
        <v>4765</v>
      </c>
      <c r="R1372" t="s">
        <v>3771</v>
      </c>
      <c r="S1372" t="s">
        <v>36</v>
      </c>
      <c r="T1372" t="str">
        <f>"85232"</f>
        <v>85232</v>
      </c>
      <c r="U1372" t="str">
        <f>""</f>
        <v/>
      </c>
      <c r="V1372" t="s">
        <v>4769</v>
      </c>
      <c r="X1372" t="s">
        <v>3771</v>
      </c>
      <c r="Y1372" t="s">
        <v>36</v>
      </c>
      <c r="Z1372" t="str">
        <f>"85232"</f>
        <v>85232</v>
      </c>
      <c r="AA1372" t="str">
        <f>""</f>
        <v/>
      </c>
      <c r="AB1372" t="s">
        <v>56</v>
      </c>
    </row>
    <row r="1373" spans="1:28" x14ac:dyDescent="0.25">
      <c r="A1373">
        <v>4437</v>
      </c>
      <c r="B1373" t="str">
        <f t="shared" si="234"/>
        <v>110201000</v>
      </c>
      <c r="C1373" t="s">
        <v>4761</v>
      </c>
      <c r="D1373">
        <v>5897</v>
      </c>
      <c r="E1373" t="str">
        <f>"110201201"</f>
        <v>110201201</v>
      </c>
      <c r="F1373" t="s">
        <v>4770</v>
      </c>
      <c r="G1373" t="s">
        <v>42</v>
      </c>
      <c r="H1373" t="s">
        <v>4771</v>
      </c>
      <c r="I1373" t="s">
        <v>4772</v>
      </c>
      <c r="J1373" t="s">
        <v>520</v>
      </c>
      <c r="K1373" t="str">
        <f>"5208663571"</f>
        <v>5208663571</v>
      </c>
      <c r="L1373" t="str">
        <f>""</f>
        <v/>
      </c>
      <c r="M1373" t="str">
        <f>"5208684858"</f>
        <v>5208684858</v>
      </c>
      <c r="N1373" t="str">
        <f>""</f>
        <v/>
      </c>
      <c r="O1373" t="s">
        <v>4773</v>
      </c>
      <c r="P1373" t="s">
        <v>4765</v>
      </c>
      <c r="R1373" t="s">
        <v>3771</v>
      </c>
      <c r="S1373" t="s">
        <v>36</v>
      </c>
      <c r="T1373" t="str">
        <f>"85232"</f>
        <v>85232</v>
      </c>
      <c r="U1373" t="str">
        <f>""</f>
        <v/>
      </c>
      <c r="V1373" t="s">
        <v>4774</v>
      </c>
      <c r="X1373" t="s">
        <v>3771</v>
      </c>
      <c r="Y1373" t="s">
        <v>36</v>
      </c>
      <c r="Z1373" t="str">
        <f>"85232"</f>
        <v>85232</v>
      </c>
      <c r="AA1373" t="str">
        <f>""</f>
        <v/>
      </c>
      <c r="AB1373" t="s">
        <v>56</v>
      </c>
    </row>
    <row r="1374" spans="1:28" x14ac:dyDescent="0.25">
      <c r="A1374">
        <v>4437</v>
      </c>
      <c r="B1374" t="str">
        <f t="shared" si="234"/>
        <v>110201000</v>
      </c>
      <c r="C1374" t="s">
        <v>4761</v>
      </c>
      <c r="D1374">
        <v>79415</v>
      </c>
      <c r="E1374" t="str">
        <f>"110201102"</f>
        <v>110201102</v>
      </c>
      <c r="F1374" t="s">
        <v>4775</v>
      </c>
      <c r="G1374" t="s">
        <v>42</v>
      </c>
      <c r="H1374" t="s">
        <v>4776</v>
      </c>
      <c r="I1374" t="s">
        <v>3995</v>
      </c>
      <c r="J1374" t="s">
        <v>520</v>
      </c>
      <c r="K1374" t="str">
        <f>"4809875367"</f>
        <v>4809875367</v>
      </c>
      <c r="L1374" t="str">
        <f>""</f>
        <v/>
      </c>
      <c r="M1374" t="str">
        <f>""</f>
        <v/>
      </c>
      <c r="N1374" t="str">
        <f>""</f>
        <v/>
      </c>
      <c r="O1374" t="s">
        <v>4777</v>
      </c>
      <c r="P1374" t="s">
        <v>4765</v>
      </c>
      <c r="R1374" t="s">
        <v>3771</v>
      </c>
      <c r="S1374" t="s">
        <v>36</v>
      </c>
      <c r="T1374" t="str">
        <f>"85232"</f>
        <v>85232</v>
      </c>
      <c r="U1374" t="str">
        <f>""</f>
        <v/>
      </c>
      <c r="V1374" t="s">
        <v>4778</v>
      </c>
      <c r="X1374" t="s">
        <v>1772</v>
      </c>
      <c r="Y1374" t="s">
        <v>36</v>
      </c>
      <c r="Z1374" t="str">
        <f>"85242"</f>
        <v>85242</v>
      </c>
      <c r="AA1374" t="str">
        <f>""</f>
        <v/>
      </c>
      <c r="AB1374" t="s">
        <v>56</v>
      </c>
    </row>
    <row r="1375" spans="1:28" x14ac:dyDescent="0.25">
      <c r="A1375">
        <v>4437</v>
      </c>
      <c r="B1375" t="str">
        <f t="shared" si="234"/>
        <v>110201000</v>
      </c>
      <c r="C1375" t="s">
        <v>4761</v>
      </c>
      <c r="D1375">
        <v>80440</v>
      </c>
      <c r="E1375" t="str">
        <f>"110201108"</f>
        <v>110201108</v>
      </c>
      <c r="F1375" t="s">
        <v>4779</v>
      </c>
      <c r="G1375" t="s">
        <v>42</v>
      </c>
      <c r="H1375" t="s">
        <v>834</v>
      </c>
      <c r="I1375" t="s">
        <v>4780</v>
      </c>
      <c r="J1375" t="s">
        <v>520</v>
      </c>
      <c r="K1375" t="str">
        <f>"4808887500"</f>
        <v>4808887500</v>
      </c>
      <c r="L1375" t="str">
        <f>""</f>
        <v/>
      </c>
      <c r="M1375" t="str">
        <f>""</f>
        <v/>
      </c>
      <c r="N1375" t="str">
        <f>""</f>
        <v/>
      </c>
      <c r="O1375" t="s">
        <v>4781</v>
      </c>
      <c r="P1375" t="s">
        <v>4782</v>
      </c>
      <c r="R1375" t="s">
        <v>3771</v>
      </c>
      <c r="S1375" t="s">
        <v>36</v>
      </c>
      <c r="T1375" t="str">
        <f>"85132"</f>
        <v>85132</v>
      </c>
      <c r="U1375" t="str">
        <f>""</f>
        <v/>
      </c>
      <c r="V1375" t="s">
        <v>4783</v>
      </c>
      <c r="X1375" t="s">
        <v>4784</v>
      </c>
      <c r="Y1375" t="s">
        <v>36</v>
      </c>
      <c r="Z1375" t="str">
        <f>"85142"</f>
        <v>85142</v>
      </c>
      <c r="AA1375" t="str">
        <f>""</f>
        <v/>
      </c>
      <c r="AB1375" t="s">
        <v>56</v>
      </c>
    </row>
    <row r="1376" spans="1:28" x14ac:dyDescent="0.25">
      <c r="A1376">
        <v>4437</v>
      </c>
      <c r="B1376" t="str">
        <f t="shared" si="234"/>
        <v>110201000</v>
      </c>
      <c r="C1376" t="s">
        <v>4761</v>
      </c>
      <c r="D1376">
        <v>85853</v>
      </c>
      <c r="E1376" t="str">
        <f>"110201103"</f>
        <v>110201103</v>
      </c>
      <c r="F1376" t="s">
        <v>4785</v>
      </c>
      <c r="G1376" t="s">
        <v>42</v>
      </c>
      <c r="H1376" t="s">
        <v>4786</v>
      </c>
      <c r="I1376" t="s">
        <v>4787</v>
      </c>
      <c r="J1376" t="s">
        <v>520</v>
      </c>
      <c r="K1376" t="str">
        <f>"4808887513"</f>
        <v>4808887513</v>
      </c>
      <c r="L1376" t="str">
        <f>""</f>
        <v/>
      </c>
      <c r="M1376" t="str">
        <f>""</f>
        <v/>
      </c>
      <c r="N1376" t="str">
        <f>""</f>
        <v/>
      </c>
      <c r="O1376" t="s">
        <v>4788</v>
      </c>
      <c r="P1376" t="s">
        <v>4765</v>
      </c>
      <c r="R1376" t="s">
        <v>3771</v>
      </c>
      <c r="S1376" t="s">
        <v>36</v>
      </c>
      <c r="T1376" t="str">
        <f>"85232"</f>
        <v>85232</v>
      </c>
      <c r="U1376" t="str">
        <f>""</f>
        <v/>
      </c>
      <c r="V1376" t="s">
        <v>4789</v>
      </c>
      <c r="W1376" t="s">
        <v>4790</v>
      </c>
      <c r="X1376" t="s">
        <v>1772</v>
      </c>
      <c r="Y1376" t="s">
        <v>36</v>
      </c>
      <c r="Z1376" t="str">
        <f>"85242"</f>
        <v>85242</v>
      </c>
      <c r="AA1376" t="str">
        <f>""</f>
        <v/>
      </c>
      <c r="AB1376" t="s">
        <v>56</v>
      </c>
    </row>
    <row r="1377" spans="1:28" x14ac:dyDescent="0.25">
      <c r="A1377">
        <v>4437</v>
      </c>
      <c r="B1377" t="str">
        <f t="shared" si="234"/>
        <v>110201000</v>
      </c>
      <c r="C1377" t="s">
        <v>4761</v>
      </c>
      <c r="D1377">
        <v>87537</v>
      </c>
      <c r="E1377" t="str">
        <f>"110201104"</f>
        <v>110201104</v>
      </c>
      <c r="F1377" t="s">
        <v>4791</v>
      </c>
      <c r="G1377" t="s">
        <v>42</v>
      </c>
      <c r="H1377" t="s">
        <v>2472</v>
      </c>
      <c r="I1377" t="s">
        <v>1305</v>
      </c>
      <c r="J1377" t="s">
        <v>520</v>
      </c>
      <c r="K1377" t="str">
        <f>"4809874812"</f>
        <v>4809874812</v>
      </c>
      <c r="L1377" t="str">
        <f>""</f>
        <v/>
      </c>
      <c r="M1377" t="str">
        <f>""</f>
        <v/>
      </c>
      <c r="N1377" t="str">
        <f>""</f>
        <v/>
      </c>
      <c r="O1377" t="s">
        <v>4792</v>
      </c>
      <c r="P1377" t="s">
        <v>4765</v>
      </c>
      <c r="R1377" t="s">
        <v>3771</v>
      </c>
      <c r="S1377" t="s">
        <v>36</v>
      </c>
      <c r="T1377" t="str">
        <f>"85232"</f>
        <v>85232</v>
      </c>
      <c r="U1377" t="str">
        <f>""</f>
        <v/>
      </c>
      <c r="V1377" t="s">
        <v>4793</v>
      </c>
      <c r="X1377" t="s">
        <v>1772</v>
      </c>
      <c r="Y1377" t="s">
        <v>36</v>
      </c>
      <c r="Z1377" t="str">
        <f>"85242"</f>
        <v>85242</v>
      </c>
      <c r="AA1377" t="str">
        <f>""</f>
        <v/>
      </c>
      <c r="AB1377" t="s">
        <v>56</v>
      </c>
    </row>
    <row r="1378" spans="1:28" x14ac:dyDescent="0.25">
      <c r="A1378">
        <v>4437</v>
      </c>
      <c r="B1378" t="str">
        <f t="shared" si="234"/>
        <v>110201000</v>
      </c>
      <c r="C1378" t="s">
        <v>4761</v>
      </c>
      <c r="D1378">
        <v>88400</v>
      </c>
      <c r="E1378" t="str">
        <f>"110201105"</f>
        <v>110201105</v>
      </c>
      <c r="F1378" t="s">
        <v>4794</v>
      </c>
      <c r="G1378" t="s">
        <v>42</v>
      </c>
      <c r="H1378" t="s">
        <v>1618</v>
      </c>
      <c r="I1378" t="s">
        <v>4795</v>
      </c>
      <c r="J1378" t="s">
        <v>520</v>
      </c>
      <c r="K1378" t="str">
        <f>"4809875387"</f>
        <v>4809875387</v>
      </c>
      <c r="L1378" t="str">
        <f>""</f>
        <v/>
      </c>
      <c r="M1378" t="str">
        <f>""</f>
        <v/>
      </c>
      <c r="N1378" t="str">
        <f>""</f>
        <v/>
      </c>
      <c r="O1378" t="s">
        <v>4796</v>
      </c>
      <c r="P1378" t="s">
        <v>4797</v>
      </c>
      <c r="R1378" t="s">
        <v>4798</v>
      </c>
      <c r="S1378" t="s">
        <v>36</v>
      </c>
      <c r="T1378" t="str">
        <f>"85232"</f>
        <v>85232</v>
      </c>
      <c r="U1378" t="str">
        <f>""</f>
        <v/>
      </c>
      <c r="V1378" t="s">
        <v>4799</v>
      </c>
      <c r="X1378" t="s">
        <v>4798</v>
      </c>
      <c r="Y1378" t="s">
        <v>36</v>
      </c>
      <c r="Z1378" t="str">
        <f>"85232"</f>
        <v>85232</v>
      </c>
      <c r="AA1378" t="str">
        <f>""</f>
        <v/>
      </c>
      <c r="AB1378" t="s">
        <v>56</v>
      </c>
    </row>
    <row r="1379" spans="1:28" x14ac:dyDescent="0.25">
      <c r="A1379">
        <v>4437</v>
      </c>
      <c r="B1379" t="str">
        <f t="shared" si="234"/>
        <v>110201000</v>
      </c>
      <c r="C1379" t="s">
        <v>4761</v>
      </c>
      <c r="D1379">
        <v>89587</v>
      </c>
      <c r="E1379" t="str">
        <f>"110201106"</f>
        <v>110201106</v>
      </c>
      <c r="F1379" t="s">
        <v>4800</v>
      </c>
      <c r="G1379" t="s">
        <v>42</v>
      </c>
      <c r="H1379" t="s">
        <v>3123</v>
      </c>
      <c r="I1379" t="s">
        <v>4801</v>
      </c>
      <c r="J1379" t="s">
        <v>520</v>
      </c>
      <c r="K1379" t="str">
        <f>"4809877616"</f>
        <v>4809877616</v>
      </c>
      <c r="L1379" t="str">
        <f>""</f>
        <v/>
      </c>
      <c r="M1379" t="str">
        <f>""</f>
        <v/>
      </c>
      <c r="N1379" t="str">
        <f>""</f>
        <v/>
      </c>
      <c r="O1379" t="s">
        <v>4802</v>
      </c>
      <c r="P1379" t="s">
        <v>4782</v>
      </c>
      <c r="R1379" t="s">
        <v>3771</v>
      </c>
      <c r="S1379" t="s">
        <v>36</v>
      </c>
      <c r="T1379" t="str">
        <f>"85232"</f>
        <v>85232</v>
      </c>
      <c r="U1379" t="str">
        <f>""</f>
        <v/>
      </c>
      <c r="V1379" t="s">
        <v>4803</v>
      </c>
      <c r="X1379" t="s">
        <v>1772</v>
      </c>
      <c r="Y1379" t="s">
        <v>36</v>
      </c>
      <c r="Z1379" t="str">
        <f>"85213"</f>
        <v>85213</v>
      </c>
      <c r="AA1379" t="str">
        <f>""</f>
        <v/>
      </c>
      <c r="AB1379" t="s">
        <v>56</v>
      </c>
    </row>
    <row r="1380" spans="1:28" x14ac:dyDescent="0.25">
      <c r="A1380">
        <v>4437</v>
      </c>
      <c r="B1380" t="str">
        <f t="shared" si="234"/>
        <v>110201000</v>
      </c>
      <c r="C1380" t="s">
        <v>4761</v>
      </c>
      <c r="D1380">
        <v>89858</v>
      </c>
      <c r="E1380" t="str">
        <f>"110201107"</f>
        <v>110201107</v>
      </c>
      <c r="F1380" t="s">
        <v>4804</v>
      </c>
      <c r="G1380" t="s">
        <v>42</v>
      </c>
      <c r="H1380" t="s">
        <v>447</v>
      </c>
      <c r="I1380" t="s">
        <v>4805</v>
      </c>
      <c r="J1380" t="s">
        <v>520</v>
      </c>
      <c r="K1380" t="str">
        <f>"5208663531"</f>
        <v>5208663531</v>
      </c>
      <c r="L1380" t="str">
        <f>""</f>
        <v/>
      </c>
      <c r="M1380" t="str">
        <f>"5208684858"</f>
        <v>5208684858</v>
      </c>
      <c r="N1380" t="str">
        <f>""</f>
        <v/>
      </c>
      <c r="O1380" t="s">
        <v>4806</v>
      </c>
      <c r="P1380" t="s">
        <v>4765</v>
      </c>
      <c r="R1380" t="s">
        <v>3771</v>
      </c>
      <c r="S1380" t="s">
        <v>36</v>
      </c>
      <c r="T1380" t="str">
        <f>"85232"</f>
        <v>85232</v>
      </c>
      <c r="U1380" t="str">
        <f>""</f>
        <v/>
      </c>
      <c r="V1380" t="s">
        <v>4807</v>
      </c>
      <c r="X1380" t="s">
        <v>3771</v>
      </c>
      <c r="Y1380" t="s">
        <v>36</v>
      </c>
      <c r="Z1380" t="str">
        <f>"85232"</f>
        <v>85232</v>
      </c>
      <c r="AA1380" t="str">
        <f>""</f>
        <v/>
      </c>
      <c r="AB1380" t="s">
        <v>56</v>
      </c>
    </row>
    <row r="1381" spans="1:28" x14ac:dyDescent="0.25">
      <c r="A1381">
        <v>4437</v>
      </c>
      <c r="B1381" t="str">
        <f t="shared" si="234"/>
        <v>110201000</v>
      </c>
      <c r="C1381" t="s">
        <v>4761</v>
      </c>
      <c r="D1381">
        <v>89907</v>
      </c>
      <c r="E1381" t="str">
        <f>"110201203"</f>
        <v>110201203</v>
      </c>
      <c r="F1381" t="s">
        <v>4808</v>
      </c>
      <c r="G1381" t="s">
        <v>42</v>
      </c>
      <c r="H1381" t="s">
        <v>3744</v>
      </c>
      <c r="I1381" t="s">
        <v>4809</v>
      </c>
      <c r="J1381" t="s">
        <v>520</v>
      </c>
      <c r="K1381" t="str">
        <f>"4804746240"</f>
        <v>4804746240</v>
      </c>
      <c r="L1381" t="str">
        <f>""</f>
        <v/>
      </c>
      <c r="M1381" t="str">
        <f>""</f>
        <v/>
      </c>
      <c r="N1381" t="str">
        <f>""</f>
        <v/>
      </c>
      <c r="O1381" t="s">
        <v>4810</v>
      </c>
      <c r="P1381" t="s">
        <v>4811</v>
      </c>
      <c r="R1381" t="s">
        <v>1772</v>
      </c>
      <c r="S1381" t="s">
        <v>36</v>
      </c>
      <c r="T1381" t="str">
        <f>"85142"</f>
        <v>85142</v>
      </c>
      <c r="U1381" t="str">
        <f>""</f>
        <v/>
      </c>
      <c r="V1381" t="s">
        <v>4811</v>
      </c>
      <c r="X1381" t="s">
        <v>1772</v>
      </c>
      <c r="Y1381" t="s">
        <v>36</v>
      </c>
      <c r="Z1381" t="str">
        <f>"85142"</f>
        <v>85142</v>
      </c>
      <c r="AA1381" t="str">
        <f>""</f>
        <v/>
      </c>
      <c r="AB1381" t="s">
        <v>56</v>
      </c>
    </row>
    <row r="1382" spans="1:28" x14ac:dyDescent="0.25">
      <c r="A1382">
        <v>4437</v>
      </c>
      <c r="B1382" t="str">
        <f t="shared" si="234"/>
        <v>110201000</v>
      </c>
      <c r="C1382" t="s">
        <v>4761</v>
      </c>
      <c r="D1382">
        <v>90309</v>
      </c>
      <c r="E1382" t="str">
        <f>"110201202"</f>
        <v>110201202</v>
      </c>
      <c r="F1382" t="s">
        <v>4812</v>
      </c>
      <c r="G1382" t="s">
        <v>42</v>
      </c>
      <c r="H1382" t="s">
        <v>4813</v>
      </c>
      <c r="I1382" t="s">
        <v>4814</v>
      </c>
      <c r="J1382" t="s">
        <v>520</v>
      </c>
      <c r="K1382" t="str">
        <f>"5208663531"</f>
        <v>5208663531</v>
      </c>
      <c r="L1382" t="str">
        <f>""</f>
        <v/>
      </c>
      <c r="M1382" t="str">
        <f>""</f>
        <v/>
      </c>
      <c r="N1382" t="str">
        <f>""</f>
        <v/>
      </c>
      <c r="O1382" t="s">
        <v>4815</v>
      </c>
      <c r="P1382" t="s">
        <v>4765</v>
      </c>
      <c r="R1382" t="s">
        <v>3771</v>
      </c>
      <c r="S1382" t="s">
        <v>36</v>
      </c>
      <c r="T1382" t="str">
        <f>"85232"</f>
        <v>85232</v>
      </c>
      <c r="U1382" t="str">
        <f>""</f>
        <v/>
      </c>
      <c r="V1382" t="s">
        <v>4816</v>
      </c>
      <c r="X1382" t="s">
        <v>1772</v>
      </c>
      <c r="Y1382" t="s">
        <v>36</v>
      </c>
      <c r="Z1382" t="str">
        <f>"85243"</f>
        <v>85243</v>
      </c>
      <c r="AA1382" t="str">
        <f>""</f>
        <v/>
      </c>
      <c r="AB1382" t="s">
        <v>56</v>
      </c>
    </row>
    <row r="1383" spans="1:28" x14ac:dyDescent="0.25">
      <c r="A1383">
        <v>4437</v>
      </c>
      <c r="B1383" t="str">
        <f t="shared" si="234"/>
        <v>110201000</v>
      </c>
      <c r="C1383" t="s">
        <v>4761</v>
      </c>
      <c r="D1383">
        <v>92280</v>
      </c>
      <c r="E1383" t="str">
        <f>"110201503"</f>
        <v>110201503</v>
      </c>
      <c r="F1383" t="s">
        <v>4817</v>
      </c>
      <c r="G1383" t="s">
        <v>42</v>
      </c>
      <c r="H1383" t="s">
        <v>4818</v>
      </c>
      <c r="I1383" t="s">
        <v>4819</v>
      </c>
      <c r="J1383" t="s">
        <v>4820</v>
      </c>
      <c r="K1383" t="str">
        <f>"4804746175"</f>
        <v>4804746175</v>
      </c>
      <c r="L1383" t="str">
        <f>""</f>
        <v/>
      </c>
      <c r="M1383" t="str">
        <f>""</f>
        <v/>
      </c>
      <c r="N1383" t="str">
        <f>""</f>
        <v/>
      </c>
      <c r="O1383" t="s">
        <v>4821</v>
      </c>
      <c r="P1383" t="s">
        <v>4822</v>
      </c>
      <c r="R1383" t="s">
        <v>4784</v>
      </c>
      <c r="S1383" t="s">
        <v>36</v>
      </c>
      <c r="T1383" t="str">
        <f>"85142"</f>
        <v>85142</v>
      </c>
      <c r="U1383" t="str">
        <f>""</f>
        <v/>
      </c>
      <c r="V1383" t="s">
        <v>4822</v>
      </c>
      <c r="X1383" t="s">
        <v>4784</v>
      </c>
      <c r="Y1383" t="s">
        <v>36</v>
      </c>
      <c r="Z1383" t="str">
        <f>"85142"</f>
        <v>85142</v>
      </c>
      <c r="AA1383" t="str">
        <f>""</f>
        <v/>
      </c>
      <c r="AB1383" t="s">
        <v>56</v>
      </c>
    </row>
    <row r="1384" spans="1:28" x14ac:dyDescent="0.25">
      <c r="A1384">
        <v>4438</v>
      </c>
      <c r="B1384" t="str">
        <f>"110203000"</f>
        <v>110203000</v>
      </c>
      <c r="C1384" t="s">
        <v>4823</v>
      </c>
      <c r="D1384">
        <v>0</v>
      </c>
      <c r="E1384" t="str">
        <f>""</f>
        <v/>
      </c>
      <c r="G1384" t="s">
        <v>29</v>
      </c>
      <c r="H1384" t="s">
        <v>4824</v>
      </c>
      <c r="I1384" t="s">
        <v>4825</v>
      </c>
      <c r="J1384" t="s">
        <v>32</v>
      </c>
      <c r="K1384" t="str">
        <f>"5203635511"</f>
        <v>5203635511</v>
      </c>
      <c r="L1384" t="str">
        <f>"5069"</f>
        <v>5069</v>
      </c>
      <c r="M1384" t="str">
        <f>""</f>
        <v/>
      </c>
      <c r="N1384" t="str">
        <f>""</f>
        <v/>
      </c>
      <c r="O1384" t="s">
        <v>4826</v>
      </c>
      <c r="P1384" t="s">
        <v>4827</v>
      </c>
      <c r="R1384" t="s">
        <v>4828</v>
      </c>
      <c r="S1384" t="s">
        <v>36</v>
      </c>
      <c r="T1384" t="str">
        <f>"85137"</f>
        <v>85137</v>
      </c>
      <c r="U1384" t="str">
        <f>""</f>
        <v/>
      </c>
      <c r="V1384" t="s">
        <v>4829</v>
      </c>
      <c r="W1384" t="s">
        <v>4827</v>
      </c>
      <c r="X1384" t="s">
        <v>4828</v>
      </c>
      <c r="Y1384" t="s">
        <v>36</v>
      </c>
      <c r="Z1384" t="str">
        <f>"85137"</f>
        <v>85137</v>
      </c>
      <c r="AA1384" t="str">
        <f>""</f>
        <v/>
      </c>
      <c r="AB1384" t="s">
        <v>265</v>
      </c>
    </row>
    <row r="1385" spans="1:28" x14ac:dyDescent="0.25">
      <c r="A1385">
        <v>4438</v>
      </c>
      <c r="B1385" t="str">
        <f>"110203000"</f>
        <v>110203000</v>
      </c>
      <c r="C1385" t="s">
        <v>4823</v>
      </c>
      <c r="D1385">
        <v>5898</v>
      </c>
      <c r="E1385" t="str">
        <f>"110203101"</f>
        <v>110203101</v>
      </c>
      <c r="F1385" t="s">
        <v>4830</v>
      </c>
      <c r="G1385" t="s">
        <v>42</v>
      </c>
      <c r="H1385" t="s">
        <v>4824</v>
      </c>
      <c r="I1385" t="s">
        <v>4825</v>
      </c>
      <c r="J1385" t="s">
        <v>32</v>
      </c>
      <c r="K1385" t="str">
        <f>"5203635511"</f>
        <v>5203635511</v>
      </c>
      <c r="L1385" t="str">
        <f>"506"</f>
        <v>506</v>
      </c>
      <c r="M1385" t="str">
        <f>"5203635642"</f>
        <v>5203635642</v>
      </c>
      <c r="N1385" t="str">
        <f>""</f>
        <v/>
      </c>
      <c r="O1385" t="s">
        <v>4826</v>
      </c>
      <c r="P1385" t="s">
        <v>4831</v>
      </c>
      <c r="Q1385" t="s">
        <v>4827</v>
      </c>
      <c r="R1385" t="s">
        <v>4832</v>
      </c>
      <c r="S1385" t="s">
        <v>36</v>
      </c>
      <c r="T1385" t="str">
        <f>"85137"</f>
        <v>85137</v>
      </c>
      <c r="U1385" t="str">
        <f>""</f>
        <v/>
      </c>
      <c r="V1385" t="s">
        <v>4831</v>
      </c>
      <c r="W1385" t="s">
        <v>4827</v>
      </c>
      <c r="X1385" t="s">
        <v>4832</v>
      </c>
      <c r="Y1385" t="s">
        <v>36</v>
      </c>
      <c r="Z1385" t="str">
        <f>"85137"</f>
        <v>85137</v>
      </c>
      <c r="AA1385" t="str">
        <f>""</f>
        <v/>
      </c>
      <c r="AB1385" t="s">
        <v>265</v>
      </c>
    </row>
    <row r="1386" spans="1:28" x14ac:dyDescent="0.25">
      <c r="A1386">
        <v>4438</v>
      </c>
      <c r="B1386" t="str">
        <f>"110203000"</f>
        <v>110203000</v>
      </c>
      <c r="C1386" t="s">
        <v>4823</v>
      </c>
      <c r="D1386">
        <v>5900</v>
      </c>
      <c r="E1386" t="str">
        <f>"110203202"</f>
        <v>110203202</v>
      </c>
      <c r="F1386" t="s">
        <v>4833</v>
      </c>
      <c r="G1386" t="s">
        <v>42</v>
      </c>
      <c r="H1386" t="s">
        <v>4824</v>
      </c>
      <c r="I1386" t="s">
        <v>4825</v>
      </c>
      <c r="J1386" t="s">
        <v>32</v>
      </c>
      <c r="K1386" t="str">
        <f>"5203635511"</f>
        <v>5203635511</v>
      </c>
      <c r="L1386" t="str">
        <f>"506"</f>
        <v>506</v>
      </c>
      <c r="M1386" t="str">
        <f>"5203635642"</f>
        <v>5203635642</v>
      </c>
      <c r="N1386" t="str">
        <f>""</f>
        <v/>
      </c>
      <c r="O1386" t="s">
        <v>4826</v>
      </c>
      <c r="P1386" t="s">
        <v>4827</v>
      </c>
      <c r="R1386" t="s">
        <v>4828</v>
      </c>
      <c r="S1386" t="s">
        <v>36</v>
      </c>
      <c r="T1386" t="str">
        <f>"85237"</f>
        <v>85237</v>
      </c>
      <c r="U1386" t="str">
        <f>""</f>
        <v/>
      </c>
      <c r="V1386" t="s">
        <v>4834</v>
      </c>
      <c r="X1386" t="s">
        <v>4828</v>
      </c>
      <c r="Y1386" t="s">
        <v>36</v>
      </c>
      <c r="Z1386" t="str">
        <f>"85137"</f>
        <v>85137</v>
      </c>
      <c r="AA1386" t="str">
        <f>""</f>
        <v/>
      </c>
      <c r="AB1386" t="s">
        <v>265</v>
      </c>
    </row>
    <row r="1387" spans="1:28" x14ac:dyDescent="0.25">
      <c r="A1387">
        <v>4439</v>
      </c>
      <c r="B1387" t="str">
        <f>"110208000"</f>
        <v>110208000</v>
      </c>
      <c r="C1387" t="s">
        <v>4835</v>
      </c>
      <c r="D1387">
        <v>0</v>
      </c>
      <c r="E1387" t="str">
        <f>""</f>
        <v/>
      </c>
      <c r="G1387" t="s">
        <v>29</v>
      </c>
      <c r="H1387" t="s">
        <v>4836</v>
      </c>
      <c r="I1387" t="s">
        <v>1632</v>
      </c>
      <c r="J1387" t="s">
        <v>4837</v>
      </c>
      <c r="K1387" t="str">
        <f>"5203852336"</f>
        <v>5203852336</v>
      </c>
      <c r="L1387" t="str">
        <f>"2214"</f>
        <v>2214</v>
      </c>
      <c r="M1387" t="str">
        <f>"5203852336"</f>
        <v>5203852336</v>
      </c>
      <c r="N1387" t="str">
        <f>"2621"</f>
        <v>2621</v>
      </c>
      <c r="O1387" t="s">
        <v>4838</v>
      </c>
      <c r="P1387" t="s">
        <v>4839</v>
      </c>
      <c r="R1387" t="s">
        <v>4840</v>
      </c>
      <c r="S1387" t="s">
        <v>36</v>
      </c>
      <c r="T1387" t="str">
        <f>"85631"</f>
        <v>85631</v>
      </c>
      <c r="U1387" t="str">
        <f>""</f>
        <v/>
      </c>
      <c r="V1387" t="s">
        <v>4841</v>
      </c>
      <c r="X1387" t="s">
        <v>4840</v>
      </c>
      <c r="Y1387" t="s">
        <v>36</v>
      </c>
      <c r="Z1387" t="str">
        <f>"85631"</f>
        <v>85631</v>
      </c>
      <c r="AA1387" t="str">
        <f>""</f>
        <v/>
      </c>
      <c r="AB1387" t="s">
        <v>516</v>
      </c>
    </row>
    <row r="1388" spans="1:28" x14ac:dyDescent="0.25">
      <c r="A1388">
        <v>4439</v>
      </c>
      <c r="B1388" t="str">
        <f>"110208000"</f>
        <v>110208000</v>
      </c>
      <c r="C1388" t="s">
        <v>4835</v>
      </c>
      <c r="D1388">
        <v>5902</v>
      </c>
      <c r="E1388" t="str">
        <f>"110208107"</f>
        <v>110208107</v>
      </c>
      <c r="F1388" t="s">
        <v>4842</v>
      </c>
      <c r="G1388" t="s">
        <v>42</v>
      </c>
      <c r="H1388" t="s">
        <v>1639</v>
      </c>
      <c r="I1388" t="s">
        <v>4843</v>
      </c>
      <c r="J1388" t="s">
        <v>926</v>
      </c>
      <c r="K1388" t="str">
        <f>"5203852336"</f>
        <v>5203852336</v>
      </c>
      <c r="L1388" t="str">
        <f>"2214"</f>
        <v>2214</v>
      </c>
      <c r="M1388" t="str">
        <f>"5203852621"</f>
        <v>5203852621</v>
      </c>
      <c r="N1388" t="str">
        <f>""</f>
        <v/>
      </c>
      <c r="O1388" t="s">
        <v>4838</v>
      </c>
      <c r="P1388" t="s">
        <v>4844</v>
      </c>
      <c r="R1388" t="s">
        <v>4840</v>
      </c>
      <c r="S1388" t="s">
        <v>36</v>
      </c>
      <c r="T1388" t="str">
        <f>"85631"</f>
        <v>85631</v>
      </c>
      <c r="U1388" t="str">
        <f>""</f>
        <v/>
      </c>
      <c r="V1388" t="s">
        <v>4845</v>
      </c>
      <c r="X1388" t="s">
        <v>4840</v>
      </c>
      <c r="Y1388" t="s">
        <v>36</v>
      </c>
      <c r="Z1388" t="str">
        <f>"85631"</f>
        <v>85631</v>
      </c>
      <c r="AA1388" t="str">
        <f>""</f>
        <v/>
      </c>
      <c r="AB1388" t="s">
        <v>516</v>
      </c>
    </row>
    <row r="1389" spans="1:28" x14ac:dyDescent="0.25">
      <c r="A1389">
        <v>4439</v>
      </c>
      <c r="B1389" t="str">
        <f>"110208000"</f>
        <v>110208000</v>
      </c>
      <c r="C1389" t="s">
        <v>4835</v>
      </c>
      <c r="D1389">
        <v>5904</v>
      </c>
      <c r="E1389" t="str">
        <f>"110208281"</f>
        <v>110208281</v>
      </c>
      <c r="F1389" t="s">
        <v>4846</v>
      </c>
      <c r="G1389" t="s">
        <v>42</v>
      </c>
      <c r="H1389" t="s">
        <v>2082</v>
      </c>
      <c r="I1389" t="s">
        <v>4847</v>
      </c>
      <c r="J1389" t="s">
        <v>4848</v>
      </c>
      <c r="K1389" t="str">
        <f>"5203852336"</f>
        <v>5203852336</v>
      </c>
      <c r="L1389" t="str">
        <f>"2214"</f>
        <v>2214</v>
      </c>
      <c r="M1389" t="str">
        <f>"5203852621"</f>
        <v>5203852621</v>
      </c>
      <c r="N1389" t="str">
        <f>""</f>
        <v/>
      </c>
      <c r="O1389" t="s">
        <v>4849</v>
      </c>
      <c r="P1389" t="s">
        <v>4839</v>
      </c>
      <c r="R1389" t="s">
        <v>4840</v>
      </c>
      <c r="S1389" t="s">
        <v>36</v>
      </c>
      <c r="T1389" t="str">
        <f>"85631"</f>
        <v>85631</v>
      </c>
      <c r="U1389" t="str">
        <f>""</f>
        <v/>
      </c>
      <c r="V1389" t="s">
        <v>4841</v>
      </c>
      <c r="X1389" t="s">
        <v>4840</v>
      </c>
      <c r="Y1389" t="s">
        <v>36</v>
      </c>
      <c r="Z1389" t="str">
        <f>"85631"</f>
        <v>85631</v>
      </c>
      <c r="AA1389" t="str">
        <f>""</f>
        <v/>
      </c>
      <c r="AB1389" t="s">
        <v>516</v>
      </c>
    </row>
    <row r="1390" spans="1:28" x14ac:dyDescent="0.25">
      <c r="A1390">
        <v>4440</v>
      </c>
      <c r="B1390" t="str">
        <f>"110215000"</f>
        <v>110215000</v>
      </c>
      <c r="C1390" t="s">
        <v>4850</v>
      </c>
      <c r="D1390">
        <v>0</v>
      </c>
      <c r="E1390" t="str">
        <f>""</f>
        <v/>
      </c>
      <c r="G1390" t="s">
        <v>29</v>
      </c>
      <c r="H1390" t="s">
        <v>4851</v>
      </c>
      <c r="I1390" t="s">
        <v>3258</v>
      </c>
      <c r="J1390" t="s">
        <v>32</v>
      </c>
      <c r="K1390" t="str">
        <f>"5206893000"</f>
        <v>5206893000</v>
      </c>
      <c r="L1390" t="str">
        <f>"3101"</f>
        <v>3101</v>
      </c>
      <c r="M1390" t="str">
        <f>"5206893197"</f>
        <v>5206893197</v>
      </c>
      <c r="N1390" t="str">
        <f>""</f>
        <v/>
      </c>
      <c r="O1390" t="s">
        <v>4852</v>
      </c>
      <c r="P1390" t="s">
        <v>4853</v>
      </c>
      <c r="R1390" t="s">
        <v>4854</v>
      </c>
      <c r="S1390" t="s">
        <v>36</v>
      </c>
      <c r="T1390" t="str">
        <f>"85173"</f>
        <v>85173</v>
      </c>
      <c r="U1390" t="str">
        <f>""</f>
        <v/>
      </c>
      <c r="V1390" t="s">
        <v>4853</v>
      </c>
      <c r="X1390" t="s">
        <v>4854</v>
      </c>
      <c r="Y1390" t="s">
        <v>36</v>
      </c>
      <c r="Z1390" t="str">
        <f>"85173"</f>
        <v>85173</v>
      </c>
      <c r="AA1390" t="str">
        <f>""</f>
        <v/>
      </c>
      <c r="AB1390" t="s">
        <v>156</v>
      </c>
    </row>
    <row r="1391" spans="1:28" x14ac:dyDescent="0.25">
      <c r="A1391">
        <v>4440</v>
      </c>
      <c r="B1391" t="str">
        <f>"110215000"</f>
        <v>110215000</v>
      </c>
      <c r="C1391" t="s">
        <v>4850</v>
      </c>
      <c r="D1391">
        <v>5905</v>
      </c>
      <c r="E1391" t="str">
        <f>"110215101"</f>
        <v>110215101</v>
      </c>
      <c r="F1391" t="s">
        <v>4855</v>
      </c>
      <c r="G1391" t="s">
        <v>42</v>
      </c>
      <c r="H1391" t="s">
        <v>4851</v>
      </c>
      <c r="I1391" t="s">
        <v>3258</v>
      </c>
      <c r="J1391" t="s">
        <v>32</v>
      </c>
      <c r="K1391" t="str">
        <f>"5206893000"</f>
        <v>5206893000</v>
      </c>
      <c r="L1391" t="str">
        <f>"3101"</f>
        <v>3101</v>
      </c>
      <c r="M1391" t="str">
        <f>"5206893197"</f>
        <v>5206893197</v>
      </c>
      <c r="N1391" t="str">
        <f>""</f>
        <v/>
      </c>
      <c r="O1391" t="s">
        <v>4852</v>
      </c>
      <c r="P1391" t="s">
        <v>4856</v>
      </c>
      <c r="R1391" t="s">
        <v>4854</v>
      </c>
      <c r="S1391" t="s">
        <v>36</v>
      </c>
      <c r="T1391" t="str">
        <f>"85173"</f>
        <v>85173</v>
      </c>
      <c r="U1391" t="str">
        <f>""</f>
        <v/>
      </c>
      <c r="V1391" t="s">
        <v>4853</v>
      </c>
      <c r="X1391" t="s">
        <v>4854</v>
      </c>
      <c r="Y1391" t="s">
        <v>36</v>
      </c>
      <c r="Z1391" t="str">
        <f>"85173"</f>
        <v>85173</v>
      </c>
      <c r="AA1391" t="str">
        <f>""</f>
        <v/>
      </c>
      <c r="AB1391" t="s">
        <v>156</v>
      </c>
    </row>
    <row r="1392" spans="1:28" x14ac:dyDescent="0.25">
      <c r="A1392">
        <v>4440</v>
      </c>
      <c r="B1392" t="str">
        <f>"110215000"</f>
        <v>110215000</v>
      </c>
      <c r="C1392" t="s">
        <v>4850</v>
      </c>
      <c r="D1392">
        <v>5906</v>
      </c>
      <c r="E1392" t="str">
        <f>"110215102"</f>
        <v>110215102</v>
      </c>
      <c r="F1392" t="s">
        <v>4857</v>
      </c>
      <c r="G1392" t="s">
        <v>42</v>
      </c>
      <c r="H1392" t="s">
        <v>4851</v>
      </c>
      <c r="I1392" t="s">
        <v>3258</v>
      </c>
      <c r="J1392" t="s">
        <v>32</v>
      </c>
      <c r="K1392" t="str">
        <f>"5206893000"</f>
        <v>5206893000</v>
      </c>
      <c r="L1392" t="str">
        <f>"3110"</f>
        <v>3110</v>
      </c>
      <c r="M1392" t="str">
        <f>"5206893197"</f>
        <v>5206893197</v>
      </c>
      <c r="N1392" t="str">
        <f>""</f>
        <v/>
      </c>
      <c r="O1392" t="s">
        <v>4852</v>
      </c>
      <c r="P1392" t="s">
        <v>4856</v>
      </c>
      <c r="R1392" t="s">
        <v>4854</v>
      </c>
      <c r="S1392" t="s">
        <v>36</v>
      </c>
      <c r="T1392" t="str">
        <f>"85173"</f>
        <v>85173</v>
      </c>
      <c r="U1392" t="str">
        <f>""</f>
        <v/>
      </c>
      <c r="V1392" t="s">
        <v>4856</v>
      </c>
      <c r="X1392" t="s">
        <v>4854</v>
      </c>
      <c r="Y1392" t="s">
        <v>36</v>
      </c>
      <c r="Z1392" t="str">
        <f>"85173"</f>
        <v>85173</v>
      </c>
      <c r="AA1392" t="str">
        <f>""</f>
        <v/>
      </c>
      <c r="AB1392" t="s">
        <v>156</v>
      </c>
    </row>
    <row r="1393" spans="1:28" x14ac:dyDescent="0.25">
      <c r="A1393">
        <v>4440</v>
      </c>
      <c r="B1393" t="str">
        <f>"110215000"</f>
        <v>110215000</v>
      </c>
      <c r="C1393" t="s">
        <v>4850</v>
      </c>
      <c r="D1393">
        <v>5907</v>
      </c>
      <c r="E1393" t="str">
        <f>"110215205"</f>
        <v>110215205</v>
      </c>
      <c r="F1393" t="s">
        <v>4858</v>
      </c>
      <c r="G1393" t="s">
        <v>42</v>
      </c>
      <c r="H1393" t="s">
        <v>4851</v>
      </c>
      <c r="I1393" t="s">
        <v>3258</v>
      </c>
      <c r="J1393" t="s">
        <v>32</v>
      </c>
      <c r="K1393" t="str">
        <f>"5206893000"</f>
        <v>5206893000</v>
      </c>
      <c r="L1393" t="str">
        <f>"3110"</f>
        <v>3110</v>
      </c>
      <c r="M1393" t="str">
        <f>"5206893197"</f>
        <v>5206893197</v>
      </c>
      <c r="N1393" t="str">
        <f>""</f>
        <v/>
      </c>
      <c r="O1393" t="s">
        <v>4852</v>
      </c>
      <c r="P1393" t="s">
        <v>4856</v>
      </c>
      <c r="R1393" t="s">
        <v>4854</v>
      </c>
      <c r="S1393" t="s">
        <v>36</v>
      </c>
      <c r="T1393" t="str">
        <f>"85173"</f>
        <v>85173</v>
      </c>
      <c r="U1393" t="str">
        <f>""</f>
        <v/>
      </c>
      <c r="V1393" t="s">
        <v>4856</v>
      </c>
      <c r="X1393" t="s">
        <v>4854</v>
      </c>
      <c r="Y1393" t="s">
        <v>36</v>
      </c>
      <c r="Z1393" t="str">
        <f>"85173"</f>
        <v>85173</v>
      </c>
      <c r="AA1393" t="str">
        <f>""</f>
        <v/>
      </c>
      <c r="AB1393" t="s">
        <v>156</v>
      </c>
    </row>
    <row r="1394" spans="1:28" x14ac:dyDescent="0.25">
      <c r="A1394">
        <v>4441</v>
      </c>
      <c r="B1394" t="str">
        <f t="shared" ref="B1394:B1403" si="235">"110220000"</f>
        <v>110220000</v>
      </c>
      <c r="C1394" t="s">
        <v>4859</v>
      </c>
      <c r="D1394">
        <v>0</v>
      </c>
      <c r="E1394" t="str">
        <f>""</f>
        <v/>
      </c>
      <c r="G1394" t="s">
        <v>29</v>
      </c>
      <c r="H1394" t="s">
        <v>4860</v>
      </c>
      <c r="I1394" t="s">
        <v>4861</v>
      </c>
      <c r="J1394" t="s">
        <v>4862</v>
      </c>
      <c r="K1394" t="str">
        <f t="shared" ref="K1394:K1403" si="236">"5205685100"</f>
        <v>5205685100</v>
      </c>
      <c r="L1394" t="str">
        <f t="shared" ref="L1394:L1403" si="237">"1034"</f>
        <v>1034</v>
      </c>
      <c r="M1394" t="str">
        <f t="shared" ref="M1394:M1403" si="238">"5205685109"</f>
        <v>5205685109</v>
      </c>
      <c r="N1394" t="str">
        <f>""</f>
        <v/>
      </c>
      <c r="O1394" t="s">
        <v>4863</v>
      </c>
      <c r="P1394" t="s">
        <v>4864</v>
      </c>
      <c r="R1394" t="s">
        <v>2281</v>
      </c>
      <c r="S1394" t="s">
        <v>36</v>
      </c>
      <c r="T1394" t="str">
        <f>"85138"</f>
        <v>85138</v>
      </c>
      <c r="U1394" t="str">
        <f>""</f>
        <v/>
      </c>
      <c r="V1394" t="s">
        <v>4864</v>
      </c>
      <c r="X1394" t="s">
        <v>2281</v>
      </c>
      <c r="Y1394" t="s">
        <v>36</v>
      </c>
      <c r="Z1394" t="str">
        <f>"85138"</f>
        <v>85138</v>
      </c>
      <c r="AA1394" t="str">
        <f>""</f>
        <v/>
      </c>
      <c r="AB1394" t="s">
        <v>249</v>
      </c>
    </row>
    <row r="1395" spans="1:28" x14ac:dyDescent="0.25">
      <c r="A1395">
        <v>4441</v>
      </c>
      <c r="B1395" t="str">
        <f t="shared" si="235"/>
        <v>110220000</v>
      </c>
      <c r="C1395" t="s">
        <v>4859</v>
      </c>
      <c r="D1395">
        <v>5908</v>
      </c>
      <c r="E1395" t="str">
        <f>"110220101"</f>
        <v>110220101</v>
      </c>
      <c r="F1395" t="s">
        <v>4865</v>
      </c>
      <c r="G1395" t="s">
        <v>42</v>
      </c>
      <c r="H1395" t="s">
        <v>4860</v>
      </c>
      <c r="I1395" t="s">
        <v>4861</v>
      </c>
      <c r="J1395" t="s">
        <v>4866</v>
      </c>
      <c r="K1395" t="str">
        <f t="shared" si="236"/>
        <v>5205685100</v>
      </c>
      <c r="L1395" t="str">
        <f t="shared" si="237"/>
        <v>1034</v>
      </c>
      <c r="M1395" t="str">
        <f t="shared" si="238"/>
        <v>5205685109</v>
      </c>
      <c r="N1395" t="str">
        <f>""</f>
        <v/>
      </c>
      <c r="O1395" t="s">
        <v>4863</v>
      </c>
      <c r="P1395" t="s">
        <v>4867</v>
      </c>
      <c r="R1395" t="s">
        <v>2281</v>
      </c>
      <c r="S1395" t="s">
        <v>36</v>
      </c>
      <c r="T1395" t="str">
        <f>"85139"</f>
        <v>85139</v>
      </c>
      <c r="U1395" t="str">
        <f>""</f>
        <v/>
      </c>
      <c r="V1395" t="s">
        <v>4867</v>
      </c>
      <c r="X1395" t="s">
        <v>2281</v>
      </c>
      <c r="Y1395" t="s">
        <v>36</v>
      </c>
      <c r="Z1395" t="str">
        <f>"85139"</f>
        <v>85139</v>
      </c>
      <c r="AA1395" t="str">
        <f>""</f>
        <v/>
      </c>
      <c r="AB1395" t="s">
        <v>249</v>
      </c>
    </row>
    <row r="1396" spans="1:28" x14ac:dyDescent="0.25">
      <c r="A1396">
        <v>4441</v>
      </c>
      <c r="B1396" t="str">
        <f t="shared" si="235"/>
        <v>110220000</v>
      </c>
      <c r="C1396" t="s">
        <v>4859</v>
      </c>
      <c r="D1396">
        <v>5909</v>
      </c>
      <c r="E1396" t="str">
        <f>"110220133"</f>
        <v>110220133</v>
      </c>
      <c r="F1396" t="s">
        <v>4868</v>
      </c>
      <c r="G1396" t="s">
        <v>42</v>
      </c>
      <c r="H1396" t="s">
        <v>4860</v>
      </c>
      <c r="I1396" t="s">
        <v>4861</v>
      </c>
      <c r="J1396" t="s">
        <v>4866</v>
      </c>
      <c r="K1396" t="str">
        <f t="shared" si="236"/>
        <v>5205685100</v>
      </c>
      <c r="L1396" t="str">
        <f t="shared" si="237"/>
        <v>1034</v>
      </c>
      <c r="M1396" t="str">
        <f t="shared" si="238"/>
        <v>5205685109</v>
      </c>
      <c r="N1396" t="str">
        <f>""</f>
        <v/>
      </c>
      <c r="O1396" t="s">
        <v>4863</v>
      </c>
      <c r="P1396" t="s">
        <v>4869</v>
      </c>
      <c r="R1396" t="s">
        <v>2281</v>
      </c>
      <c r="S1396" t="s">
        <v>36</v>
      </c>
      <c r="T1396" t="str">
        <f>"85139"</f>
        <v>85139</v>
      </c>
      <c r="U1396" t="str">
        <f>""</f>
        <v/>
      </c>
      <c r="V1396" t="s">
        <v>4869</v>
      </c>
      <c r="X1396" t="s">
        <v>2281</v>
      </c>
      <c r="Y1396" t="s">
        <v>36</v>
      </c>
      <c r="Z1396" t="str">
        <f>"85139"</f>
        <v>85139</v>
      </c>
      <c r="AA1396" t="str">
        <f>""</f>
        <v/>
      </c>
      <c r="AB1396" t="s">
        <v>249</v>
      </c>
    </row>
    <row r="1397" spans="1:28" x14ac:dyDescent="0.25">
      <c r="A1397">
        <v>4441</v>
      </c>
      <c r="B1397" t="str">
        <f t="shared" si="235"/>
        <v>110220000</v>
      </c>
      <c r="C1397" t="s">
        <v>4859</v>
      </c>
      <c r="D1397">
        <v>5910</v>
      </c>
      <c r="E1397" t="str">
        <f>"110220202"</f>
        <v>110220202</v>
      </c>
      <c r="F1397" t="s">
        <v>4870</v>
      </c>
      <c r="G1397" t="s">
        <v>42</v>
      </c>
      <c r="H1397" t="s">
        <v>4860</v>
      </c>
      <c r="I1397" t="s">
        <v>4861</v>
      </c>
      <c r="J1397" t="s">
        <v>4866</v>
      </c>
      <c r="K1397" t="str">
        <f t="shared" si="236"/>
        <v>5205685100</v>
      </c>
      <c r="L1397" t="str">
        <f t="shared" si="237"/>
        <v>1034</v>
      </c>
      <c r="M1397" t="str">
        <f t="shared" si="238"/>
        <v>5205685109</v>
      </c>
      <c r="N1397" t="str">
        <f>""</f>
        <v/>
      </c>
      <c r="O1397" t="s">
        <v>4863</v>
      </c>
      <c r="P1397" t="s">
        <v>4871</v>
      </c>
      <c r="R1397" t="s">
        <v>2281</v>
      </c>
      <c r="S1397" t="s">
        <v>36</v>
      </c>
      <c r="T1397" t="str">
        <f>"85139"</f>
        <v>85139</v>
      </c>
      <c r="U1397" t="str">
        <f>""</f>
        <v/>
      </c>
      <c r="V1397" t="s">
        <v>4871</v>
      </c>
      <c r="X1397" t="s">
        <v>2281</v>
      </c>
      <c r="Y1397" t="s">
        <v>36</v>
      </c>
      <c r="Z1397" t="str">
        <f>"85139"</f>
        <v>85139</v>
      </c>
      <c r="AA1397" t="str">
        <f>""</f>
        <v/>
      </c>
      <c r="AB1397" t="s">
        <v>249</v>
      </c>
    </row>
    <row r="1398" spans="1:28" x14ac:dyDescent="0.25">
      <c r="A1398">
        <v>4441</v>
      </c>
      <c r="B1398" t="str">
        <f t="shared" si="235"/>
        <v>110220000</v>
      </c>
      <c r="C1398" t="s">
        <v>4859</v>
      </c>
      <c r="D1398">
        <v>81058</v>
      </c>
      <c r="E1398" t="str">
        <f>"110220104"</f>
        <v>110220104</v>
      </c>
      <c r="F1398" t="s">
        <v>4872</v>
      </c>
      <c r="G1398" t="s">
        <v>42</v>
      </c>
      <c r="H1398" t="s">
        <v>4860</v>
      </c>
      <c r="I1398" t="s">
        <v>4861</v>
      </c>
      <c r="J1398" t="s">
        <v>4866</v>
      </c>
      <c r="K1398" t="str">
        <f t="shared" si="236"/>
        <v>5205685100</v>
      </c>
      <c r="L1398" t="str">
        <f t="shared" si="237"/>
        <v>1034</v>
      </c>
      <c r="M1398" t="str">
        <f t="shared" si="238"/>
        <v>5205685109</v>
      </c>
      <c r="N1398" t="str">
        <f>""</f>
        <v/>
      </c>
      <c r="O1398" t="s">
        <v>4863</v>
      </c>
      <c r="P1398" t="s">
        <v>4873</v>
      </c>
      <c r="R1398" t="s">
        <v>2281</v>
      </c>
      <c r="S1398" t="s">
        <v>36</v>
      </c>
      <c r="T1398" t="str">
        <f>"85139"</f>
        <v>85139</v>
      </c>
      <c r="U1398" t="str">
        <f>""</f>
        <v/>
      </c>
      <c r="V1398" t="s">
        <v>4873</v>
      </c>
      <c r="X1398" t="s">
        <v>2281</v>
      </c>
      <c r="Y1398" t="s">
        <v>36</v>
      </c>
      <c r="Z1398" t="str">
        <f>"85139"</f>
        <v>85139</v>
      </c>
      <c r="AA1398" t="str">
        <f>""</f>
        <v/>
      </c>
      <c r="AB1398" t="s">
        <v>249</v>
      </c>
    </row>
    <row r="1399" spans="1:28" x14ac:dyDescent="0.25">
      <c r="A1399">
        <v>4441</v>
      </c>
      <c r="B1399" t="str">
        <f t="shared" si="235"/>
        <v>110220000</v>
      </c>
      <c r="C1399" t="s">
        <v>4859</v>
      </c>
      <c r="D1399">
        <v>87479</v>
      </c>
      <c r="E1399" t="str">
        <f>"110220105"</f>
        <v>110220105</v>
      </c>
      <c r="F1399" t="s">
        <v>4874</v>
      </c>
      <c r="G1399" t="s">
        <v>42</v>
      </c>
      <c r="H1399" t="s">
        <v>4860</v>
      </c>
      <c r="I1399" t="s">
        <v>4861</v>
      </c>
      <c r="J1399" t="s">
        <v>202</v>
      </c>
      <c r="K1399" t="str">
        <f t="shared" si="236"/>
        <v>5205685100</v>
      </c>
      <c r="L1399" t="str">
        <f t="shared" si="237"/>
        <v>1034</v>
      </c>
      <c r="M1399" t="str">
        <f t="shared" si="238"/>
        <v>5205685109</v>
      </c>
      <c r="N1399" t="str">
        <f>""</f>
        <v/>
      </c>
      <c r="O1399" t="s">
        <v>4863</v>
      </c>
      <c r="P1399" t="s">
        <v>4875</v>
      </c>
      <c r="R1399" t="s">
        <v>2281</v>
      </c>
      <c r="S1399" t="s">
        <v>36</v>
      </c>
      <c r="T1399" t="str">
        <f>"85139"</f>
        <v>85139</v>
      </c>
      <c r="U1399" t="str">
        <f>""</f>
        <v/>
      </c>
      <c r="V1399" t="s">
        <v>4875</v>
      </c>
      <c r="X1399" t="s">
        <v>2281</v>
      </c>
      <c r="Y1399" t="s">
        <v>36</v>
      </c>
      <c r="Z1399" t="str">
        <f>"85139"</f>
        <v>85139</v>
      </c>
      <c r="AA1399" t="str">
        <f>""</f>
        <v/>
      </c>
      <c r="AB1399" t="s">
        <v>249</v>
      </c>
    </row>
    <row r="1400" spans="1:28" x14ac:dyDescent="0.25">
      <c r="A1400">
        <v>4441</v>
      </c>
      <c r="B1400" t="str">
        <f t="shared" si="235"/>
        <v>110220000</v>
      </c>
      <c r="C1400" t="s">
        <v>4859</v>
      </c>
      <c r="D1400">
        <v>88405</v>
      </c>
      <c r="E1400" t="str">
        <f>"110220106"</f>
        <v>110220106</v>
      </c>
      <c r="F1400" t="s">
        <v>4876</v>
      </c>
      <c r="G1400" t="s">
        <v>42</v>
      </c>
      <c r="H1400" t="s">
        <v>4860</v>
      </c>
      <c r="I1400" t="s">
        <v>4861</v>
      </c>
      <c r="J1400" t="s">
        <v>4866</v>
      </c>
      <c r="K1400" t="str">
        <f t="shared" si="236"/>
        <v>5205685100</v>
      </c>
      <c r="L1400" t="str">
        <f t="shared" si="237"/>
        <v>1034</v>
      </c>
      <c r="M1400" t="str">
        <f t="shared" si="238"/>
        <v>5205685109</v>
      </c>
      <c r="N1400" t="str">
        <f>""</f>
        <v/>
      </c>
      <c r="O1400" t="s">
        <v>4863</v>
      </c>
      <c r="P1400" t="s">
        <v>4877</v>
      </c>
      <c r="R1400" t="s">
        <v>2281</v>
      </c>
      <c r="S1400" t="s">
        <v>36</v>
      </c>
      <c r="T1400" t="str">
        <f>"85138"</f>
        <v>85138</v>
      </c>
      <c r="U1400" t="str">
        <f>""</f>
        <v/>
      </c>
      <c r="V1400" t="s">
        <v>4877</v>
      </c>
      <c r="X1400" t="s">
        <v>2281</v>
      </c>
      <c r="Y1400" t="s">
        <v>36</v>
      </c>
      <c r="Z1400" t="str">
        <f>"85138"</f>
        <v>85138</v>
      </c>
      <c r="AA1400" t="str">
        <f>""</f>
        <v/>
      </c>
      <c r="AB1400" t="s">
        <v>249</v>
      </c>
    </row>
    <row r="1401" spans="1:28" x14ac:dyDescent="0.25">
      <c r="A1401">
        <v>4441</v>
      </c>
      <c r="B1401" t="str">
        <f t="shared" si="235"/>
        <v>110220000</v>
      </c>
      <c r="C1401" t="s">
        <v>4859</v>
      </c>
      <c r="D1401">
        <v>89909</v>
      </c>
      <c r="E1401" t="str">
        <f>"110220109"</f>
        <v>110220109</v>
      </c>
      <c r="F1401" t="s">
        <v>4878</v>
      </c>
      <c r="G1401" t="s">
        <v>42</v>
      </c>
      <c r="H1401" t="s">
        <v>4860</v>
      </c>
      <c r="I1401" t="s">
        <v>4861</v>
      </c>
      <c r="J1401" t="s">
        <v>4866</v>
      </c>
      <c r="K1401" t="str">
        <f t="shared" si="236"/>
        <v>5205685100</v>
      </c>
      <c r="L1401" t="str">
        <f t="shared" si="237"/>
        <v>1034</v>
      </c>
      <c r="M1401" t="str">
        <f t="shared" si="238"/>
        <v>5205685109</v>
      </c>
      <c r="N1401" t="str">
        <f>""</f>
        <v/>
      </c>
      <c r="O1401" t="s">
        <v>4863</v>
      </c>
      <c r="P1401" t="s">
        <v>4879</v>
      </c>
      <c r="R1401" t="s">
        <v>2281</v>
      </c>
      <c r="S1401" t="s">
        <v>36</v>
      </c>
      <c r="T1401" t="str">
        <f>"85139"</f>
        <v>85139</v>
      </c>
      <c r="U1401" t="str">
        <f>""</f>
        <v/>
      </c>
      <c r="V1401" t="s">
        <v>4879</v>
      </c>
      <c r="X1401" t="s">
        <v>2281</v>
      </c>
      <c r="Y1401" t="s">
        <v>36</v>
      </c>
      <c r="Z1401" t="str">
        <f>"85139"</f>
        <v>85139</v>
      </c>
      <c r="AA1401" t="str">
        <f>""</f>
        <v/>
      </c>
      <c r="AB1401" t="s">
        <v>249</v>
      </c>
    </row>
    <row r="1402" spans="1:28" x14ac:dyDescent="0.25">
      <c r="A1402">
        <v>4441</v>
      </c>
      <c r="B1402" t="str">
        <f t="shared" si="235"/>
        <v>110220000</v>
      </c>
      <c r="C1402" t="s">
        <v>4859</v>
      </c>
      <c r="D1402">
        <v>89910</v>
      </c>
      <c r="E1402" t="str">
        <f>"110220108"</f>
        <v>110220108</v>
      </c>
      <c r="F1402" t="s">
        <v>4356</v>
      </c>
      <c r="G1402" t="s">
        <v>42</v>
      </c>
      <c r="H1402" t="s">
        <v>4860</v>
      </c>
      <c r="I1402" t="s">
        <v>4861</v>
      </c>
      <c r="J1402" t="s">
        <v>4866</v>
      </c>
      <c r="K1402" t="str">
        <f t="shared" si="236"/>
        <v>5205685100</v>
      </c>
      <c r="L1402" t="str">
        <f t="shared" si="237"/>
        <v>1034</v>
      </c>
      <c r="M1402" t="str">
        <f t="shared" si="238"/>
        <v>5205685109</v>
      </c>
      <c r="N1402" t="str">
        <f>""</f>
        <v/>
      </c>
      <c r="O1402" t="s">
        <v>4863</v>
      </c>
      <c r="P1402" t="s">
        <v>4880</v>
      </c>
      <c r="R1402" t="s">
        <v>2281</v>
      </c>
      <c r="S1402" t="s">
        <v>36</v>
      </c>
      <c r="T1402" t="str">
        <f>"85138"</f>
        <v>85138</v>
      </c>
      <c r="U1402" t="str">
        <f>""</f>
        <v/>
      </c>
      <c r="V1402" t="s">
        <v>4880</v>
      </c>
      <c r="X1402" t="s">
        <v>2281</v>
      </c>
      <c r="Y1402" t="s">
        <v>36</v>
      </c>
      <c r="Z1402" t="str">
        <f>"85138"</f>
        <v>85138</v>
      </c>
      <c r="AA1402" t="str">
        <f>""</f>
        <v/>
      </c>
      <c r="AB1402" t="s">
        <v>249</v>
      </c>
    </row>
    <row r="1403" spans="1:28" x14ac:dyDescent="0.25">
      <c r="A1403">
        <v>4441</v>
      </c>
      <c r="B1403" t="str">
        <f t="shared" si="235"/>
        <v>110220000</v>
      </c>
      <c r="C1403" t="s">
        <v>4859</v>
      </c>
      <c r="D1403">
        <v>89911</v>
      </c>
      <c r="E1403" t="str">
        <f>"110220134"</f>
        <v>110220134</v>
      </c>
      <c r="F1403" t="s">
        <v>4881</v>
      </c>
      <c r="G1403" t="s">
        <v>42</v>
      </c>
      <c r="H1403" t="s">
        <v>4860</v>
      </c>
      <c r="I1403" t="s">
        <v>4861</v>
      </c>
      <c r="J1403" t="s">
        <v>4866</v>
      </c>
      <c r="K1403" t="str">
        <f t="shared" si="236"/>
        <v>5205685100</v>
      </c>
      <c r="L1403" t="str">
        <f t="shared" si="237"/>
        <v>1034</v>
      </c>
      <c r="M1403" t="str">
        <f t="shared" si="238"/>
        <v>5205685109</v>
      </c>
      <c r="N1403" t="str">
        <f>""</f>
        <v/>
      </c>
      <c r="O1403" t="s">
        <v>4863</v>
      </c>
      <c r="P1403" t="s">
        <v>4882</v>
      </c>
      <c r="R1403" t="s">
        <v>2281</v>
      </c>
      <c r="S1403" t="s">
        <v>36</v>
      </c>
      <c r="T1403" t="str">
        <f>"85138"</f>
        <v>85138</v>
      </c>
      <c r="U1403" t="str">
        <f>""</f>
        <v/>
      </c>
      <c r="V1403" t="s">
        <v>4882</v>
      </c>
      <c r="X1403" t="s">
        <v>2281</v>
      </c>
      <c r="Y1403" t="s">
        <v>36</v>
      </c>
      <c r="Z1403" t="str">
        <f>"85138"</f>
        <v>85138</v>
      </c>
      <c r="AA1403" t="str">
        <f>""</f>
        <v/>
      </c>
      <c r="AB1403" t="s">
        <v>249</v>
      </c>
    </row>
    <row r="1404" spans="1:28" x14ac:dyDescent="0.25">
      <c r="A1404">
        <v>4442</v>
      </c>
      <c r="B1404" t="str">
        <f t="shared" ref="B1404:B1409" si="239">"110221000"</f>
        <v>110221000</v>
      </c>
      <c r="C1404" t="s">
        <v>4883</v>
      </c>
      <c r="D1404">
        <v>0</v>
      </c>
      <c r="E1404" t="str">
        <f>""</f>
        <v/>
      </c>
      <c r="G1404" t="s">
        <v>29</v>
      </c>
      <c r="H1404" t="s">
        <v>752</v>
      </c>
      <c r="I1404" t="s">
        <v>2183</v>
      </c>
      <c r="J1404" t="s">
        <v>118</v>
      </c>
      <c r="K1404" t="str">
        <f t="shared" ref="K1404:K1409" si="240">"5207232081"</f>
        <v>5207232081</v>
      </c>
      <c r="L1404" t="str">
        <f>""</f>
        <v/>
      </c>
      <c r="M1404" t="str">
        <f>""</f>
        <v/>
      </c>
      <c r="N1404" t="str">
        <f>""</f>
        <v/>
      </c>
      <c r="O1404" t="s">
        <v>4884</v>
      </c>
      <c r="P1404" t="s">
        <v>4885</v>
      </c>
      <c r="R1404" t="s">
        <v>4886</v>
      </c>
      <c r="S1404" t="s">
        <v>36</v>
      </c>
      <c r="T1404" t="str">
        <f t="shared" ref="T1404:T1409" si="241">"85128"</f>
        <v>85128</v>
      </c>
      <c r="U1404" t="str">
        <f>""</f>
        <v/>
      </c>
      <c r="V1404" t="s">
        <v>4887</v>
      </c>
      <c r="X1404" t="s">
        <v>4888</v>
      </c>
      <c r="Y1404" t="s">
        <v>36</v>
      </c>
      <c r="Z1404" t="str">
        <f t="shared" ref="Z1404:Z1409" si="242">"85128"</f>
        <v>85128</v>
      </c>
      <c r="AA1404" t="str">
        <f>""</f>
        <v/>
      </c>
      <c r="AB1404" t="s">
        <v>4889</v>
      </c>
    </row>
    <row r="1405" spans="1:28" x14ac:dyDescent="0.25">
      <c r="A1405">
        <v>4442</v>
      </c>
      <c r="B1405" t="str">
        <f t="shared" si="239"/>
        <v>110221000</v>
      </c>
      <c r="C1405" t="s">
        <v>4883</v>
      </c>
      <c r="D1405">
        <v>5911</v>
      </c>
      <c r="E1405" t="str">
        <f>"110221001"</f>
        <v>110221001</v>
      </c>
      <c r="F1405" t="s">
        <v>4890</v>
      </c>
      <c r="G1405" t="s">
        <v>42</v>
      </c>
      <c r="H1405" t="s">
        <v>752</v>
      </c>
      <c r="I1405" t="s">
        <v>2183</v>
      </c>
      <c r="J1405" t="s">
        <v>118</v>
      </c>
      <c r="K1405" t="str">
        <f t="shared" si="240"/>
        <v>5207232081</v>
      </c>
      <c r="L1405" t="str">
        <f>""</f>
        <v/>
      </c>
      <c r="M1405" t="str">
        <f>"5207235397"</f>
        <v>5207235397</v>
      </c>
      <c r="N1405" t="str">
        <f>""</f>
        <v/>
      </c>
      <c r="O1405" t="s">
        <v>4891</v>
      </c>
      <c r="P1405" t="s">
        <v>4885</v>
      </c>
      <c r="R1405" t="s">
        <v>4888</v>
      </c>
      <c r="S1405" t="s">
        <v>36</v>
      </c>
      <c r="T1405" t="str">
        <f t="shared" si="241"/>
        <v>85128</v>
      </c>
      <c r="U1405" t="str">
        <f>""</f>
        <v/>
      </c>
      <c r="V1405" t="s">
        <v>4892</v>
      </c>
      <c r="X1405" t="s">
        <v>4888</v>
      </c>
      <c r="Y1405" t="s">
        <v>36</v>
      </c>
      <c r="Z1405" t="str">
        <f t="shared" si="242"/>
        <v>85128</v>
      </c>
      <c r="AA1405" t="str">
        <f>""</f>
        <v/>
      </c>
      <c r="AB1405" t="s">
        <v>4889</v>
      </c>
    </row>
    <row r="1406" spans="1:28" x14ac:dyDescent="0.25">
      <c r="A1406">
        <v>4442</v>
      </c>
      <c r="B1406" t="str">
        <f t="shared" si="239"/>
        <v>110221000</v>
      </c>
      <c r="C1406" t="s">
        <v>4883</v>
      </c>
      <c r="D1406">
        <v>5914</v>
      </c>
      <c r="E1406" t="str">
        <f>"110221005"</f>
        <v>110221005</v>
      </c>
      <c r="F1406" t="s">
        <v>4893</v>
      </c>
      <c r="G1406" t="s">
        <v>42</v>
      </c>
      <c r="H1406" t="s">
        <v>752</v>
      </c>
      <c r="I1406" t="s">
        <v>2183</v>
      </c>
      <c r="J1406" t="s">
        <v>118</v>
      </c>
      <c r="K1406" t="str">
        <f t="shared" si="240"/>
        <v>5207232081</v>
      </c>
      <c r="L1406" t="str">
        <f>""</f>
        <v/>
      </c>
      <c r="M1406" t="str">
        <f>"5200000000"</f>
        <v>5200000000</v>
      </c>
      <c r="N1406" t="str">
        <f>""</f>
        <v/>
      </c>
      <c r="O1406" t="s">
        <v>4891</v>
      </c>
      <c r="P1406" t="s">
        <v>4894</v>
      </c>
      <c r="R1406" t="s">
        <v>4886</v>
      </c>
      <c r="S1406" t="s">
        <v>36</v>
      </c>
      <c r="T1406" t="str">
        <f t="shared" si="241"/>
        <v>85128</v>
      </c>
      <c r="U1406" t="str">
        <f>""</f>
        <v/>
      </c>
      <c r="V1406" t="s">
        <v>4895</v>
      </c>
      <c r="X1406" t="s">
        <v>4886</v>
      </c>
      <c r="Y1406" t="s">
        <v>36</v>
      </c>
      <c r="Z1406" t="str">
        <f t="shared" si="242"/>
        <v>85128</v>
      </c>
      <c r="AA1406" t="str">
        <f>""</f>
        <v/>
      </c>
      <c r="AB1406" t="s">
        <v>4889</v>
      </c>
    </row>
    <row r="1407" spans="1:28" x14ac:dyDescent="0.25">
      <c r="A1407">
        <v>4442</v>
      </c>
      <c r="B1407" t="str">
        <f t="shared" si="239"/>
        <v>110221000</v>
      </c>
      <c r="C1407" t="s">
        <v>4883</v>
      </c>
      <c r="D1407">
        <v>5916</v>
      </c>
      <c r="E1407" t="str">
        <f>"110221007"</f>
        <v>110221007</v>
      </c>
      <c r="F1407" t="s">
        <v>4896</v>
      </c>
      <c r="G1407" t="s">
        <v>42</v>
      </c>
      <c r="H1407" t="s">
        <v>752</v>
      </c>
      <c r="I1407" t="s">
        <v>2183</v>
      </c>
      <c r="J1407" t="s">
        <v>118</v>
      </c>
      <c r="K1407" t="str">
        <f t="shared" si="240"/>
        <v>5207232081</v>
      </c>
      <c r="L1407" t="str">
        <f>""</f>
        <v/>
      </c>
      <c r="M1407" t="str">
        <f>"5207232082"</f>
        <v>5207232082</v>
      </c>
      <c r="N1407" t="str">
        <f>""</f>
        <v/>
      </c>
      <c r="O1407" t="s">
        <v>4891</v>
      </c>
      <c r="P1407" t="s">
        <v>4897</v>
      </c>
      <c r="R1407" t="s">
        <v>4886</v>
      </c>
      <c r="S1407" t="s">
        <v>36</v>
      </c>
      <c r="T1407" t="str">
        <f t="shared" si="241"/>
        <v>85128</v>
      </c>
      <c r="U1407" t="str">
        <f>""</f>
        <v/>
      </c>
      <c r="V1407" t="s">
        <v>4887</v>
      </c>
      <c r="X1407" t="s">
        <v>4888</v>
      </c>
      <c r="Y1407" t="s">
        <v>36</v>
      </c>
      <c r="Z1407" t="str">
        <f t="shared" si="242"/>
        <v>85128</v>
      </c>
      <c r="AA1407" t="str">
        <f>""</f>
        <v/>
      </c>
      <c r="AB1407" t="s">
        <v>4889</v>
      </c>
    </row>
    <row r="1408" spans="1:28" x14ac:dyDescent="0.25">
      <c r="A1408">
        <v>4442</v>
      </c>
      <c r="B1408" t="str">
        <f t="shared" si="239"/>
        <v>110221000</v>
      </c>
      <c r="C1408" t="s">
        <v>4883</v>
      </c>
      <c r="D1408">
        <v>89577</v>
      </c>
      <c r="E1408" t="str">
        <f>"110221010"</f>
        <v>110221010</v>
      </c>
      <c r="F1408" t="s">
        <v>4898</v>
      </c>
      <c r="G1408" t="s">
        <v>42</v>
      </c>
      <c r="H1408" t="s">
        <v>752</v>
      </c>
      <c r="I1408" t="s">
        <v>2183</v>
      </c>
      <c r="J1408" t="s">
        <v>118</v>
      </c>
      <c r="K1408" t="str">
        <f t="shared" si="240"/>
        <v>5207232081</v>
      </c>
      <c r="L1408" t="str">
        <f>"2081"</f>
        <v>2081</v>
      </c>
      <c r="M1408" t="str">
        <f>"5207232082"</f>
        <v>5207232082</v>
      </c>
      <c r="N1408" t="str">
        <f>""</f>
        <v/>
      </c>
      <c r="O1408" t="s">
        <v>4891</v>
      </c>
      <c r="P1408" t="s">
        <v>4899</v>
      </c>
      <c r="R1408" t="s">
        <v>4886</v>
      </c>
      <c r="S1408" t="s">
        <v>36</v>
      </c>
      <c r="T1408" t="str">
        <f t="shared" si="241"/>
        <v>85128</v>
      </c>
      <c r="U1408" t="str">
        <f>""</f>
        <v/>
      </c>
      <c r="V1408" t="s">
        <v>4900</v>
      </c>
      <c r="X1408" t="s">
        <v>4886</v>
      </c>
      <c r="Y1408" t="s">
        <v>36</v>
      </c>
      <c r="Z1408" t="str">
        <f t="shared" si="242"/>
        <v>85128</v>
      </c>
      <c r="AA1408" t="str">
        <f>""</f>
        <v/>
      </c>
      <c r="AB1408" t="s">
        <v>4889</v>
      </c>
    </row>
    <row r="1409" spans="1:28" x14ac:dyDescent="0.25">
      <c r="A1409">
        <v>4442</v>
      </c>
      <c r="B1409" t="str">
        <f t="shared" si="239"/>
        <v>110221000</v>
      </c>
      <c r="C1409" t="s">
        <v>4883</v>
      </c>
      <c r="D1409">
        <v>92608</v>
      </c>
      <c r="E1409" t="str">
        <f>"110221012"</f>
        <v>110221012</v>
      </c>
      <c r="F1409" t="s">
        <v>4901</v>
      </c>
      <c r="G1409" t="s">
        <v>42</v>
      </c>
      <c r="H1409" t="s">
        <v>752</v>
      </c>
      <c r="I1409" t="s">
        <v>2183</v>
      </c>
      <c r="J1409" t="s">
        <v>118</v>
      </c>
      <c r="K1409" t="str">
        <f t="shared" si="240"/>
        <v>5207232081</v>
      </c>
      <c r="L1409" t="str">
        <f>""</f>
        <v/>
      </c>
      <c r="M1409" t="str">
        <f>""</f>
        <v/>
      </c>
      <c r="N1409" t="str">
        <f>""</f>
        <v/>
      </c>
      <c r="O1409" t="s">
        <v>4891</v>
      </c>
      <c r="P1409" t="s">
        <v>4899</v>
      </c>
      <c r="R1409" t="s">
        <v>4886</v>
      </c>
      <c r="S1409" t="s">
        <v>36</v>
      </c>
      <c r="T1409" t="str">
        <f t="shared" si="241"/>
        <v>85128</v>
      </c>
      <c r="U1409" t="str">
        <f>""</f>
        <v/>
      </c>
      <c r="V1409" t="s">
        <v>4902</v>
      </c>
      <c r="X1409" t="s">
        <v>4886</v>
      </c>
      <c r="Y1409" t="s">
        <v>36</v>
      </c>
      <c r="Z1409" t="str">
        <f t="shared" si="242"/>
        <v>85128</v>
      </c>
      <c r="AA1409" t="str">
        <f>""</f>
        <v/>
      </c>
      <c r="AB1409" t="s">
        <v>4889</v>
      </c>
    </row>
    <row r="1410" spans="1:28" x14ac:dyDescent="0.25">
      <c r="A1410">
        <v>4443</v>
      </c>
      <c r="B1410" t="str">
        <f t="shared" ref="B1410:B1415" si="243">"110243000"</f>
        <v>110243000</v>
      </c>
      <c r="C1410" t="s">
        <v>4903</v>
      </c>
      <c r="D1410">
        <v>0</v>
      </c>
      <c r="E1410" t="str">
        <f>""</f>
        <v/>
      </c>
      <c r="G1410" t="s">
        <v>29</v>
      </c>
      <c r="H1410" t="s">
        <v>220</v>
      </c>
      <c r="I1410" t="s">
        <v>4904</v>
      </c>
      <c r="J1410" t="s">
        <v>32</v>
      </c>
      <c r="K1410" t="str">
        <f>"4809821110"</f>
        <v>4809821110</v>
      </c>
      <c r="L1410" t="str">
        <f>"2201"</f>
        <v>2201</v>
      </c>
      <c r="M1410" t="str">
        <f>""</f>
        <v/>
      </c>
      <c r="N1410" t="str">
        <f>""</f>
        <v/>
      </c>
      <c r="O1410" t="s">
        <v>4905</v>
      </c>
      <c r="P1410" t="s">
        <v>4906</v>
      </c>
      <c r="R1410" t="s">
        <v>4907</v>
      </c>
      <c r="S1410" t="s">
        <v>36</v>
      </c>
      <c r="T1410" t="str">
        <f>"85120"</f>
        <v>85120</v>
      </c>
      <c r="U1410" t="str">
        <f>""</f>
        <v/>
      </c>
      <c r="V1410" t="s">
        <v>4906</v>
      </c>
      <c r="X1410" t="s">
        <v>4907</v>
      </c>
      <c r="Y1410" t="s">
        <v>36</v>
      </c>
      <c r="Z1410" t="str">
        <f>"85120"</f>
        <v>85120</v>
      </c>
      <c r="AA1410" t="str">
        <f>""</f>
        <v/>
      </c>
      <c r="AB1410" t="s">
        <v>1466</v>
      </c>
    </row>
    <row r="1411" spans="1:28" x14ac:dyDescent="0.25">
      <c r="A1411">
        <v>4443</v>
      </c>
      <c r="B1411" t="str">
        <f t="shared" si="243"/>
        <v>110243000</v>
      </c>
      <c r="C1411" t="s">
        <v>4903</v>
      </c>
      <c r="D1411">
        <v>5920</v>
      </c>
      <c r="E1411" t="str">
        <f>"110243102"</f>
        <v>110243102</v>
      </c>
      <c r="F1411" t="s">
        <v>4908</v>
      </c>
      <c r="G1411" t="s">
        <v>42</v>
      </c>
      <c r="H1411" t="s">
        <v>4909</v>
      </c>
      <c r="I1411" t="s">
        <v>4910</v>
      </c>
      <c r="J1411" t="s">
        <v>3990</v>
      </c>
      <c r="K1411" t="str">
        <f>"4809821110"</f>
        <v>4809821110</v>
      </c>
      <c r="L1411" t="str">
        <f>"2813"</f>
        <v>2813</v>
      </c>
      <c r="M1411" t="str">
        <f>"4806711345"</f>
        <v>4806711345</v>
      </c>
      <c r="N1411" t="str">
        <f>""</f>
        <v/>
      </c>
      <c r="O1411" t="s">
        <v>4911</v>
      </c>
      <c r="P1411" t="s">
        <v>4912</v>
      </c>
      <c r="R1411" t="s">
        <v>4907</v>
      </c>
      <c r="S1411" t="s">
        <v>36</v>
      </c>
      <c r="T1411" t="str">
        <f>"85120"</f>
        <v>85120</v>
      </c>
      <c r="U1411" t="str">
        <f>""</f>
        <v/>
      </c>
      <c r="V1411" t="s">
        <v>4913</v>
      </c>
      <c r="X1411" t="s">
        <v>4907</v>
      </c>
      <c r="Y1411" t="s">
        <v>36</v>
      </c>
      <c r="Z1411" t="str">
        <f>"85119"</f>
        <v>85119</v>
      </c>
      <c r="AA1411" t="str">
        <f>""</f>
        <v/>
      </c>
      <c r="AB1411" t="s">
        <v>1466</v>
      </c>
    </row>
    <row r="1412" spans="1:28" x14ac:dyDescent="0.25">
      <c r="A1412">
        <v>4443</v>
      </c>
      <c r="B1412" t="str">
        <f t="shared" si="243"/>
        <v>110243000</v>
      </c>
      <c r="C1412" t="s">
        <v>4903</v>
      </c>
      <c r="D1412">
        <v>5922</v>
      </c>
      <c r="E1412" t="str">
        <f>"110243104"</f>
        <v>110243104</v>
      </c>
      <c r="F1412" t="s">
        <v>4914</v>
      </c>
      <c r="G1412" t="s">
        <v>42</v>
      </c>
      <c r="H1412" t="s">
        <v>4915</v>
      </c>
      <c r="I1412" t="s">
        <v>4916</v>
      </c>
      <c r="J1412" t="s">
        <v>3990</v>
      </c>
      <c r="K1412" t="str">
        <f>"4809821111"</f>
        <v>4809821111</v>
      </c>
      <c r="L1412" t="str">
        <f>"2419"</f>
        <v>2419</v>
      </c>
      <c r="M1412" t="str">
        <f>"4806710191"</f>
        <v>4806710191</v>
      </c>
      <c r="N1412" t="str">
        <f>""</f>
        <v/>
      </c>
      <c r="O1412" t="s">
        <v>4917</v>
      </c>
      <c r="P1412" t="s">
        <v>4912</v>
      </c>
      <c r="R1412" t="s">
        <v>4907</v>
      </c>
      <c r="S1412" t="s">
        <v>36</v>
      </c>
      <c r="T1412" t="str">
        <f>"85120"</f>
        <v>85120</v>
      </c>
      <c r="U1412" t="str">
        <f>""</f>
        <v/>
      </c>
      <c r="V1412" t="s">
        <v>4918</v>
      </c>
      <c r="X1412" t="s">
        <v>4907</v>
      </c>
      <c r="Y1412" t="s">
        <v>36</v>
      </c>
      <c r="Z1412" t="str">
        <f>"85119"</f>
        <v>85119</v>
      </c>
      <c r="AA1412" t="str">
        <f>""</f>
        <v/>
      </c>
      <c r="AB1412" t="s">
        <v>1466</v>
      </c>
    </row>
    <row r="1413" spans="1:28" x14ac:dyDescent="0.25">
      <c r="A1413">
        <v>4443</v>
      </c>
      <c r="B1413" t="str">
        <f t="shared" si="243"/>
        <v>110243000</v>
      </c>
      <c r="C1413" t="s">
        <v>4903</v>
      </c>
      <c r="D1413">
        <v>5923</v>
      </c>
      <c r="E1413" t="str">
        <f>"110243151"</f>
        <v>110243151</v>
      </c>
      <c r="F1413" t="s">
        <v>4919</v>
      </c>
      <c r="G1413" t="s">
        <v>42</v>
      </c>
      <c r="H1413" t="s">
        <v>2664</v>
      </c>
      <c r="I1413" t="s">
        <v>4920</v>
      </c>
      <c r="J1413" t="s">
        <v>3990</v>
      </c>
      <c r="K1413" t="str">
        <f>"4809821110"</f>
        <v>4809821110</v>
      </c>
      <c r="L1413" t="str">
        <f>"5460"</f>
        <v>5460</v>
      </c>
      <c r="M1413" t="str">
        <f>"4806710191"</f>
        <v>4806710191</v>
      </c>
      <c r="N1413" t="str">
        <f>""</f>
        <v/>
      </c>
      <c r="O1413" t="s">
        <v>4921</v>
      </c>
      <c r="P1413" t="s">
        <v>4912</v>
      </c>
      <c r="R1413" t="s">
        <v>4907</v>
      </c>
      <c r="S1413" t="s">
        <v>36</v>
      </c>
      <c r="T1413" t="str">
        <f>"85220"</f>
        <v>85220</v>
      </c>
      <c r="U1413" t="str">
        <f>""</f>
        <v/>
      </c>
      <c r="V1413" t="s">
        <v>4922</v>
      </c>
      <c r="X1413" t="s">
        <v>4907</v>
      </c>
      <c r="Y1413" t="s">
        <v>36</v>
      </c>
      <c r="Z1413" t="str">
        <f>"85220"</f>
        <v>85220</v>
      </c>
      <c r="AA1413" t="str">
        <f>""</f>
        <v/>
      </c>
      <c r="AB1413" t="s">
        <v>1466</v>
      </c>
    </row>
    <row r="1414" spans="1:28" x14ac:dyDescent="0.25">
      <c r="A1414">
        <v>4443</v>
      </c>
      <c r="B1414" t="str">
        <f t="shared" si="243"/>
        <v>110243000</v>
      </c>
      <c r="C1414" t="s">
        <v>4903</v>
      </c>
      <c r="D1414">
        <v>5925</v>
      </c>
      <c r="E1414" t="str">
        <f>"110243201"</f>
        <v>110243201</v>
      </c>
      <c r="F1414" t="s">
        <v>4923</v>
      </c>
      <c r="G1414" t="s">
        <v>42</v>
      </c>
      <c r="H1414" t="s">
        <v>2220</v>
      </c>
      <c r="I1414" t="s">
        <v>4924</v>
      </c>
      <c r="J1414" t="s">
        <v>3990</v>
      </c>
      <c r="K1414" t="str">
        <f>"4809821110"</f>
        <v>4809821110</v>
      </c>
      <c r="L1414" t="str">
        <f>"5383"</f>
        <v>5383</v>
      </c>
      <c r="M1414" t="str">
        <f>"4806710191"</f>
        <v>4806710191</v>
      </c>
      <c r="N1414" t="str">
        <f>""</f>
        <v/>
      </c>
      <c r="O1414" t="s">
        <v>4925</v>
      </c>
      <c r="P1414" t="s">
        <v>4912</v>
      </c>
      <c r="R1414" t="s">
        <v>4907</v>
      </c>
      <c r="S1414" t="s">
        <v>36</v>
      </c>
      <c r="T1414" t="str">
        <f>"85120"</f>
        <v>85120</v>
      </c>
      <c r="U1414" t="str">
        <f>""</f>
        <v/>
      </c>
      <c r="V1414" t="s">
        <v>4926</v>
      </c>
      <c r="X1414" t="s">
        <v>4907</v>
      </c>
      <c r="Y1414" t="s">
        <v>36</v>
      </c>
      <c r="Z1414" t="str">
        <f>"85120"</f>
        <v>85120</v>
      </c>
      <c r="AA1414" t="str">
        <f>""</f>
        <v/>
      </c>
      <c r="AB1414" t="s">
        <v>1466</v>
      </c>
    </row>
    <row r="1415" spans="1:28" x14ac:dyDescent="0.25">
      <c r="A1415">
        <v>4443</v>
      </c>
      <c r="B1415" t="str">
        <f t="shared" si="243"/>
        <v>110243000</v>
      </c>
      <c r="C1415" t="s">
        <v>4903</v>
      </c>
      <c r="D1415">
        <v>79631</v>
      </c>
      <c r="E1415" t="str">
        <f>"110243105"</f>
        <v>110243105</v>
      </c>
      <c r="F1415" t="s">
        <v>4927</v>
      </c>
      <c r="G1415" t="s">
        <v>42</v>
      </c>
      <c r="H1415" t="s">
        <v>615</v>
      </c>
      <c r="I1415" t="s">
        <v>4928</v>
      </c>
      <c r="J1415" t="s">
        <v>3990</v>
      </c>
      <c r="K1415" t="str">
        <f>"4809821110"</f>
        <v>4809821110</v>
      </c>
      <c r="L1415" t="str">
        <f>"6227"</f>
        <v>6227</v>
      </c>
      <c r="M1415" t="str">
        <f>"4806710191"</f>
        <v>4806710191</v>
      </c>
      <c r="N1415" t="str">
        <f>""</f>
        <v/>
      </c>
      <c r="O1415" t="s">
        <v>4929</v>
      </c>
      <c r="P1415" t="s">
        <v>4912</v>
      </c>
      <c r="R1415" t="s">
        <v>4907</v>
      </c>
      <c r="S1415" t="s">
        <v>36</v>
      </c>
      <c r="T1415" t="str">
        <f>"85120"</f>
        <v>85120</v>
      </c>
      <c r="U1415" t="str">
        <f>""</f>
        <v/>
      </c>
      <c r="V1415" t="s">
        <v>4930</v>
      </c>
      <c r="X1415" t="s">
        <v>4907</v>
      </c>
      <c r="Y1415" t="s">
        <v>36</v>
      </c>
      <c r="Z1415" t="str">
        <f>"85118"</f>
        <v>85118</v>
      </c>
      <c r="AA1415" t="str">
        <f>""</f>
        <v/>
      </c>
      <c r="AB1415" t="s">
        <v>1466</v>
      </c>
    </row>
    <row r="1416" spans="1:28" x14ac:dyDescent="0.25">
      <c r="A1416">
        <v>4444</v>
      </c>
      <c r="B1416" t="str">
        <f>"110302000"</f>
        <v>110302000</v>
      </c>
      <c r="C1416" t="s">
        <v>4931</v>
      </c>
      <c r="D1416">
        <v>0</v>
      </c>
      <c r="E1416" t="str">
        <f>""</f>
        <v/>
      </c>
      <c r="G1416" t="s">
        <v>29</v>
      </c>
      <c r="H1416" t="s">
        <v>210</v>
      </c>
      <c r="I1416" t="s">
        <v>4932</v>
      </c>
      <c r="J1416" t="s">
        <v>32</v>
      </c>
      <c r="K1416" t="str">
        <f>"5208963029"</f>
        <v>5208963029</v>
      </c>
      <c r="L1416" t="str">
        <f>""</f>
        <v/>
      </c>
      <c r="M1416" t="str">
        <f>"5208963062"</f>
        <v>5208963062</v>
      </c>
      <c r="N1416" t="str">
        <f>""</f>
        <v/>
      </c>
      <c r="O1416" t="s">
        <v>4933</v>
      </c>
      <c r="P1416" t="s">
        <v>4934</v>
      </c>
      <c r="R1416" t="s">
        <v>4935</v>
      </c>
      <c r="S1416" t="s">
        <v>36</v>
      </c>
      <c r="T1416" t="str">
        <f>"85623"</f>
        <v>85623</v>
      </c>
      <c r="U1416" t="str">
        <f>""</f>
        <v/>
      </c>
      <c r="V1416" t="s">
        <v>4936</v>
      </c>
      <c r="X1416" t="s">
        <v>4935</v>
      </c>
      <c r="Y1416" t="s">
        <v>36</v>
      </c>
      <c r="Z1416" t="str">
        <f>"85623"</f>
        <v>85623</v>
      </c>
      <c r="AA1416" t="str">
        <f>""</f>
        <v/>
      </c>
      <c r="AB1416" t="s">
        <v>249</v>
      </c>
    </row>
    <row r="1417" spans="1:28" x14ac:dyDescent="0.25">
      <c r="A1417">
        <v>4444</v>
      </c>
      <c r="B1417" t="str">
        <f>"110302000"</f>
        <v>110302000</v>
      </c>
      <c r="C1417" t="s">
        <v>4931</v>
      </c>
      <c r="D1417">
        <v>5927</v>
      </c>
      <c r="E1417" t="str">
        <f>"110302102"</f>
        <v>110302102</v>
      </c>
      <c r="F1417" t="s">
        <v>4937</v>
      </c>
      <c r="G1417" t="s">
        <v>42</v>
      </c>
      <c r="H1417" t="s">
        <v>210</v>
      </c>
      <c r="I1417" t="s">
        <v>4932</v>
      </c>
      <c r="J1417" t="s">
        <v>32</v>
      </c>
      <c r="K1417" t="str">
        <f>"5208963029"</f>
        <v>5208963029</v>
      </c>
      <c r="L1417" t="str">
        <f>""</f>
        <v/>
      </c>
      <c r="M1417" t="str">
        <f>"5208963062"</f>
        <v>5208963062</v>
      </c>
      <c r="N1417" t="str">
        <f>""</f>
        <v/>
      </c>
      <c r="O1417" t="s">
        <v>4933</v>
      </c>
      <c r="P1417" t="s">
        <v>4934</v>
      </c>
      <c r="R1417" t="s">
        <v>4935</v>
      </c>
      <c r="S1417" t="s">
        <v>36</v>
      </c>
      <c r="T1417" t="str">
        <f>"85623"</f>
        <v>85623</v>
      </c>
      <c r="U1417" t="str">
        <f>""</f>
        <v/>
      </c>
      <c r="V1417" t="s">
        <v>4936</v>
      </c>
      <c r="X1417" t="s">
        <v>4935</v>
      </c>
      <c r="Y1417" t="s">
        <v>36</v>
      </c>
      <c r="Z1417" t="str">
        <f>"85623"</f>
        <v>85623</v>
      </c>
      <c r="AA1417" t="str">
        <f>""</f>
        <v/>
      </c>
      <c r="AB1417" t="s">
        <v>249</v>
      </c>
    </row>
    <row r="1418" spans="1:28" x14ac:dyDescent="0.25">
      <c r="A1418">
        <v>4445</v>
      </c>
      <c r="B1418" t="str">
        <f t="shared" ref="B1418:B1425" si="244">"110244000"</f>
        <v>110244000</v>
      </c>
      <c r="C1418" t="s">
        <v>4938</v>
      </c>
      <c r="D1418">
        <v>0</v>
      </c>
      <c r="E1418" t="str">
        <f>""</f>
        <v/>
      </c>
      <c r="G1418" t="s">
        <v>29</v>
      </c>
      <c r="H1418" t="s">
        <v>4939</v>
      </c>
      <c r="I1418" t="s">
        <v>4940</v>
      </c>
      <c r="J1418" t="s">
        <v>4941</v>
      </c>
      <c r="K1418" t="str">
        <f>"4809875300"</f>
        <v>4809875300</v>
      </c>
      <c r="L1418" t="str">
        <f>"5316"</f>
        <v>5316</v>
      </c>
      <c r="M1418" t="str">
        <f>"4809873487"</f>
        <v>4809873487</v>
      </c>
      <c r="N1418" t="str">
        <f>""</f>
        <v/>
      </c>
      <c r="O1418" t="s">
        <v>4942</v>
      </c>
      <c r="P1418" t="s">
        <v>4943</v>
      </c>
      <c r="R1418" t="s">
        <v>4784</v>
      </c>
      <c r="S1418" t="s">
        <v>36</v>
      </c>
      <c r="T1418" t="str">
        <f t="shared" ref="T1418:T1425" si="245">"85140"</f>
        <v>85140</v>
      </c>
      <c r="U1418" t="str">
        <f>""</f>
        <v/>
      </c>
      <c r="V1418" t="s">
        <v>4943</v>
      </c>
      <c r="X1418" t="s">
        <v>4784</v>
      </c>
      <c r="Y1418" t="s">
        <v>36</v>
      </c>
      <c r="Z1418" t="str">
        <f t="shared" ref="Z1418:Z1425" si="246">"85140"</f>
        <v>85140</v>
      </c>
      <c r="AA1418" t="str">
        <f>""</f>
        <v/>
      </c>
      <c r="AB1418" t="s">
        <v>282</v>
      </c>
    </row>
    <row r="1419" spans="1:28" x14ac:dyDescent="0.25">
      <c r="A1419">
        <v>4445</v>
      </c>
      <c r="B1419" t="str">
        <f t="shared" si="244"/>
        <v>110244000</v>
      </c>
      <c r="C1419" t="s">
        <v>4938</v>
      </c>
      <c r="D1419">
        <v>5928</v>
      </c>
      <c r="E1419" t="str">
        <f>"110244103"</f>
        <v>110244103</v>
      </c>
      <c r="F1419" t="s">
        <v>4944</v>
      </c>
      <c r="G1419" t="s">
        <v>42</v>
      </c>
      <c r="H1419" t="s">
        <v>4945</v>
      </c>
      <c r="I1419" t="s">
        <v>4946</v>
      </c>
      <c r="J1419" t="s">
        <v>315</v>
      </c>
      <c r="K1419" t="str">
        <f>"4808823514"</f>
        <v>4808823514</v>
      </c>
      <c r="L1419" t="str">
        <f>""</f>
        <v/>
      </c>
      <c r="M1419" t="str">
        <f>"4808888049"</f>
        <v>4808888049</v>
      </c>
      <c r="N1419" t="str">
        <f>""</f>
        <v/>
      </c>
      <c r="O1419" t="s">
        <v>4947</v>
      </c>
      <c r="P1419" t="s">
        <v>4948</v>
      </c>
      <c r="R1419" t="s">
        <v>4784</v>
      </c>
      <c r="S1419" t="s">
        <v>36</v>
      </c>
      <c r="T1419" t="str">
        <f t="shared" si="245"/>
        <v>85140</v>
      </c>
      <c r="U1419" t="str">
        <f>""</f>
        <v/>
      </c>
      <c r="V1419" t="s">
        <v>4949</v>
      </c>
      <c r="X1419" t="s">
        <v>4784</v>
      </c>
      <c r="Y1419" t="s">
        <v>36</v>
      </c>
      <c r="Z1419" t="str">
        <f t="shared" si="246"/>
        <v>85140</v>
      </c>
      <c r="AA1419" t="str">
        <f>""</f>
        <v/>
      </c>
      <c r="AB1419" t="s">
        <v>282</v>
      </c>
    </row>
    <row r="1420" spans="1:28" x14ac:dyDescent="0.25">
      <c r="A1420">
        <v>4445</v>
      </c>
      <c r="B1420" t="str">
        <f t="shared" si="244"/>
        <v>110244000</v>
      </c>
      <c r="C1420" t="s">
        <v>4938</v>
      </c>
      <c r="D1420">
        <v>79831</v>
      </c>
      <c r="E1420" t="str">
        <f>"110244102"</f>
        <v>110244102</v>
      </c>
      <c r="F1420" t="s">
        <v>4950</v>
      </c>
      <c r="G1420" t="s">
        <v>42</v>
      </c>
      <c r="H1420" t="s">
        <v>4951</v>
      </c>
      <c r="I1420" t="s">
        <v>4952</v>
      </c>
      <c r="J1420" t="s">
        <v>315</v>
      </c>
      <c r="K1420" t="str">
        <f>"4809875334"</f>
        <v>4809875334</v>
      </c>
      <c r="L1420" t="str">
        <f>""</f>
        <v/>
      </c>
      <c r="M1420" t="str">
        <f>"4809875281"</f>
        <v>4809875281</v>
      </c>
      <c r="N1420" t="str">
        <f>""</f>
        <v/>
      </c>
      <c r="O1420" t="s">
        <v>4953</v>
      </c>
      <c r="P1420" t="s">
        <v>4948</v>
      </c>
      <c r="R1420" t="s">
        <v>4784</v>
      </c>
      <c r="S1420" t="s">
        <v>36</v>
      </c>
      <c r="T1420" t="str">
        <f t="shared" si="245"/>
        <v>85140</v>
      </c>
      <c r="U1420" t="str">
        <f>""</f>
        <v/>
      </c>
      <c r="V1420" t="s">
        <v>4954</v>
      </c>
      <c r="X1420" t="s">
        <v>4784</v>
      </c>
      <c r="Y1420" t="s">
        <v>36</v>
      </c>
      <c r="Z1420" t="str">
        <f t="shared" si="246"/>
        <v>85140</v>
      </c>
      <c r="AA1420" t="str">
        <f>""</f>
        <v/>
      </c>
      <c r="AB1420" t="s">
        <v>282</v>
      </c>
    </row>
    <row r="1421" spans="1:28" x14ac:dyDescent="0.25">
      <c r="A1421">
        <v>4445</v>
      </c>
      <c r="B1421" t="str">
        <f t="shared" si="244"/>
        <v>110244000</v>
      </c>
      <c r="C1421" t="s">
        <v>4938</v>
      </c>
      <c r="D1421">
        <v>87489</v>
      </c>
      <c r="E1421" t="str">
        <f>"110244104"</f>
        <v>110244104</v>
      </c>
      <c r="F1421" t="s">
        <v>4955</v>
      </c>
      <c r="G1421" t="s">
        <v>42</v>
      </c>
      <c r="H1421" t="s">
        <v>1561</v>
      </c>
      <c r="I1421" t="s">
        <v>4956</v>
      </c>
      <c r="J1421" t="s">
        <v>315</v>
      </c>
      <c r="K1421" t="str">
        <f>"4808823504"</f>
        <v>4808823504</v>
      </c>
      <c r="L1421" t="str">
        <f>""</f>
        <v/>
      </c>
      <c r="M1421" t="str">
        <f>"4808889143"</f>
        <v>4808889143</v>
      </c>
      <c r="N1421" t="str">
        <f>""</f>
        <v/>
      </c>
      <c r="O1421" t="s">
        <v>4957</v>
      </c>
      <c r="P1421" t="s">
        <v>4948</v>
      </c>
      <c r="R1421" t="s">
        <v>4784</v>
      </c>
      <c r="S1421" t="s">
        <v>36</v>
      </c>
      <c r="T1421" t="str">
        <f t="shared" si="245"/>
        <v>85140</v>
      </c>
      <c r="U1421" t="str">
        <f>""</f>
        <v/>
      </c>
      <c r="V1421" t="s">
        <v>4958</v>
      </c>
      <c r="X1421" t="s">
        <v>4784</v>
      </c>
      <c r="Y1421" t="s">
        <v>36</v>
      </c>
      <c r="Z1421" t="str">
        <f t="shared" si="246"/>
        <v>85140</v>
      </c>
      <c r="AA1421" t="str">
        <f>""</f>
        <v/>
      </c>
      <c r="AB1421" t="s">
        <v>282</v>
      </c>
    </row>
    <row r="1422" spans="1:28" x14ac:dyDescent="0.25">
      <c r="A1422">
        <v>4445</v>
      </c>
      <c r="B1422" t="str">
        <f t="shared" si="244"/>
        <v>110244000</v>
      </c>
      <c r="C1422" t="s">
        <v>4938</v>
      </c>
      <c r="D1422">
        <v>89569</v>
      </c>
      <c r="E1422" t="str">
        <f>"110244105"</f>
        <v>110244105</v>
      </c>
      <c r="F1422" t="s">
        <v>4959</v>
      </c>
      <c r="G1422" t="s">
        <v>42</v>
      </c>
      <c r="H1422" t="s">
        <v>4960</v>
      </c>
      <c r="I1422" t="s">
        <v>4961</v>
      </c>
      <c r="J1422" t="s">
        <v>315</v>
      </c>
      <c r="K1422" t="str">
        <f>"4808823524"</f>
        <v>4808823524</v>
      </c>
      <c r="L1422" t="str">
        <f>""</f>
        <v/>
      </c>
      <c r="M1422" t="str">
        <f>"4809878250"</f>
        <v>4809878250</v>
      </c>
      <c r="N1422" t="str">
        <f>""</f>
        <v/>
      </c>
      <c r="O1422" t="s">
        <v>4962</v>
      </c>
      <c r="P1422" t="s">
        <v>4948</v>
      </c>
      <c r="R1422" t="s">
        <v>4784</v>
      </c>
      <c r="S1422" t="s">
        <v>36</v>
      </c>
      <c r="T1422" t="str">
        <f t="shared" si="245"/>
        <v>85140</v>
      </c>
      <c r="U1422" t="str">
        <f>""</f>
        <v/>
      </c>
      <c r="V1422" t="s">
        <v>4963</v>
      </c>
      <c r="X1422" t="s">
        <v>4784</v>
      </c>
      <c r="Y1422" t="s">
        <v>36</v>
      </c>
      <c r="Z1422" t="str">
        <f t="shared" si="246"/>
        <v>85140</v>
      </c>
      <c r="AA1422" t="str">
        <f>""</f>
        <v/>
      </c>
      <c r="AB1422" t="s">
        <v>282</v>
      </c>
    </row>
    <row r="1423" spans="1:28" x14ac:dyDescent="0.25">
      <c r="A1423">
        <v>4445</v>
      </c>
      <c r="B1423" t="str">
        <f t="shared" si="244"/>
        <v>110244000</v>
      </c>
      <c r="C1423" t="s">
        <v>4938</v>
      </c>
      <c r="D1423">
        <v>89859</v>
      </c>
      <c r="E1423" t="str">
        <f>"110244201"</f>
        <v>110244201</v>
      </c>
      <c r="F1423" t="s">
        <v>4964</v>
      </c>
      <c r="G1423" t="s">
        <v>42</v>
      </c>
      <c r="H1423" t="s">
        <v>4965</v>
      </c>
      <c r="I1423" t="s">
        <v>110</v>
      </c>
      <c r="J1423" t="s">
        <v>4966</v>
      </c>
      <c r="K1423" t="str">
        <f>"4808823544"</f>
        <v>4808823544</v>
      </c>
      <c r="L1423" t="str">
        <f>""</f>
        <v/>
      </c>
      <c r="M1423" t="str">
        <f>"4809870837"</f>
        <v>4809870837</v>
      </c>
      <c r="N1423" t="str">
        <f>""</f>
        <v/>
      </c>
      <c r="O1423" t="s">
        <v>4967</v>
      </c>
      <c r="P1423" t="s">
        <v>4943</v>
      </c>
      <c r="R1423" t="s">
        <v>4784</v>
      </c>
      <c r="S1423" t="s">
        <v>36</v>
      </c>
      <c r="T1423" t="str">
        <f t="shared" si="245"/>
        <v>85140</v>
      </c>
      <c r="U1423" t="str">
        <f>""</f>
        <v/>
      </c>
      <c r="V1423" t="s">
        <v>4968</v>
      </c>
      <c r="X1423" t="s">
        <v>4784</v>
      </c>
      <c r="Y1423" t="s">
        <v>36</v>
      </c>
      <c r="Z1423" t="str">
        <f t="shared" si="246"/>
        <v>85140</v>
      </c>
      <c r="AA1423" t="str">
        <f>""</f>
        <v/>
      </c>
      <c r="AB1423" t="s">
        <v>282</v>
      </c>
    </row>
    <row r="1424" spans="1:28" x14ac:dyDescent="0.25">
      <c r="A1424">
        <v>4445</v>
      </c>
      <c r="B1424" t="str">
        <f t="shared" si="244"/>
        <v>110244000</v>
      </c>
      <c r="C1424" t="s">
        <v>4938</v>
      </c>
      <c r="D1424">
        <v>89860</v>
      </c>
      <c r="E1424" t="str">
        <f>"110244106"</f>
        <v>110244106</v>
      </c>
      <c r="F1424" t="s">
        <v>4969</v>
      </c>
      <c r="G1424" t="s">
        <v>42</v>
      </c>
      <c r="H1424" t="s">
        <v>601</v>
      </c>
      <c r="I1424" t="s">
        <v>4970</v>
      </c>
      <c r="J1424" t="s">
        <v>315</v>
      </c>
      <c r="K1424" t="str">
        <f>"4808823534"</f>
        <v>4808823534</v>
      </c>
      <c r="L1424" t="str">
        <f>""</f>
        <v/>
      </c>
      <c r="M1424" t="str">
        <f>"4809873487"</f>
        <v>4809873487</v>
      </c>
      <c r="N1424" t="str">
        <f>""</f>
        <v/>
      </c>
      <c r="O1424" t="s">
        <v>4971</v>
      </c>
      <c r="P1424" t="s">
        <v>4948</v>
      </c>
      <c r="R1424" t="s">
        <v>4784</v>
      </c>
      <c r="S1424" t="s">
        <v>36</v>
      </c>
      <c r="T1424" t="str">
        <f t="shared" si="245"/>
        <v>85140</v>
      </c>
      <c r="U1424" t="str">
        <f>""</f>
        <v/>
      </c>
      <c r="V1424" t="s">
        <v>4972</v>
      </c>
      <c r="X1424" t="s">
        <v>4784</v>
      </c>
      <c r="Y1424" t="s">
        <v>36</v>
      </c>
      <c r="Z1424" t="str">
        <f t="shared" si="246"/>
        <v>85140</v>
      </c>
      <c r="AA1424" t="str">
        <f>""</f>
        <v/>
      </c>
      <c r="AB1424" t="s">
        <v>282</v>
      </c>
    </row>
    <row r="1425" spans="1:28" x14ac:dyDescent="0.25">
      <c r="A1425">
        <v>4445</v>
      </c>
      <c r="B1425" t="str">
        <f t="shared" si="244"/>
        <v>110244000</v>
      </c>
      <c r="C1425" t="s">
        <v>4938</v>
      </c>
      <c r="D1425">
        <v>90807</v>
      </c>
      <c r="E1425" t="str">
        <f>"110244101"</f>
        <v>110244101</v>
      </c>
      <c r="F1425" t="s">
        <v>4973</v>
      </c>
      <c r="G1425" t="s">
        <v>42</v>
      </c>
      <c r="H1425" t="s">
        <v>4974</v>
      </c>
      <c r="I1425" t="s">
        <v>4975</v>
      </c>
      <c r="J1425" t="s">
        <v>4976</v>
      </c>
      <c r="K1425" t="str">
        <f>"4809875325"</f>
        <v>4809875325</v>
      </c>
      <c r="L1425" t="str">
        <f>""</f>
        <v/>
      </c>
      <c r="M1425" t="str">
        <f>""</f>
        <v/>
      </c>
      <c r="N1425" t="str">
        <f>""</f>
        <v/>
      </c>
      <c r="O1425" t="s">
        <v>4977</v>
      </c>
      <c r="P1425" t="s">
        <v>4978</v>
      </c>
      <c r="R1425" t="s">
        <v>4784</v>
      </c>
      <c r="S1425" t="s">
        <v>36</v>
      </c>
      <c r="T1425" t="str">
        <f t="shared" si="245"/>
        <v>85140</v>
      </c>
      <c r="U1425" t="str">
        <f>""</f>
        <v/>
      </c>
      <c r="V1425" t="s">
        <v>4978</v>
      </c>
      <c r="X1425" t="s">
        <v>4784</v>
      </c>
      <c r="Y1425" t="s">
        <v>36</v>
      </c>
      <c r="Z1425" t="str">
        <f t="shared" si="246"/>
        <v>85140</v>
      </c>
      <c r="AA1425" t="str">
        <f>""</f>
        <v/>
      </c>
      <c r="AB1425" t="s">
        <v>282</v>
      </c>
    </row>
    <row r="1426" spans="1:28" x14ac:dyDescent="0.25">
      <c r="A1426">
        <v>4446</v>
      </c>
      <c r="B1426" t="str">
        <f t="shared" ref="B1426:B1438" si="247">"110404000"</f>
        <v>110404000</v>
      </c>
      <c r="C1426" t="s">
        <v>4979</v>
      </c>
      <c r="D1426">
        <v>0</v>
      </c>
      <c r="E1426" t="str">
        <f>""</f>
        <v/>
      </c>
      <c r="G1426" t="s">
        <v>29</v>
      </c>
      <c r="H1426" t="s">
        <v>4980</v>
      </c>
      <c r="I1426" t="s">
        <v>4981</v>
      </c>
      <c r="J1426" t="s">
        <v>202</v>
      </c>
      <c r="K1426" t="str">
        <f>"5208763630"</f>
        <v>5208763630</v>
      </c>
      <c r="L1426" t="str">
        <f>""</f>
        <v/>
      </c>
      <c r="M1426" t="str">
        <f>"5208763636"</f>
        <v>5208763636</v>
      </c>
      <c r="N1426" t="str">
        <f>""</f>
        <v/>
      </c>
      <c r="O1426" t="s">
        <v>4982</v>
      </c>
      <c r="P1426" t="s">
        <v>4983</v>
      </c>
      <c r="R1426" t="s">
        <v>4738</v>
      </c>
      <c r="S1426" t="s">
        <v>36</v>
      </c>
      <c r="T1426" t="str">
        <f t="shared" ref="T1426:T1434" si="248">"85122"</f>
        <v>85122</v>
      </c>
      <c r="U1426" t="str">
        <f>""</f>
        <v/>
      </c>
      <c r="V1426" t="s">
        <v>4984</v>
      </c>
      <c r="X1426" t="s">
        <v>4738</v>
      </c>
      <c r="Y1426" t="s">
        <v>36</v>
      </c>
      <c r="Z1426" t="str">
        <f t="shared" ref="Z1426:Z1434" si="249">"85122"</f>
        <v>85122</v>
      </c>
      <c r="AA1426" t="str">
        <f>""</f>
        <v/>
      </c>
      <c r="AB1426" t="s">
        <v>508</v>
      </c>
    </row>
    <row r="1427" spans="1:28" x14ac:dyDescent="0.25">
      <c r="A1427">
        <v>4446</v>
      </c>
      <c r="B1427" t="str">
        <f t="shared" si="247"/>
        <v>110404000</v>
      </c>
      <c r="C1427" t="s">
        <v>4979</v>
      </c>
      <c r="D1427">
        <v>5929</v>
      </c>
      <c r="E1427" t="str">
        <f>"110404101"</f>
        <v>110404101</v>
      </c>
      <c r="F1427" t="s">
        <v>4650</v>
      </c>
      <c r="G1427" t="s">
        <v>42</v>
      </c>
      <c r="H1427" t="s">
        <v>4985</v>
      </c>
      <c r="I1427" t="s">
        <v>4986</v>
      </c>
      <c r="J1427" t="s">
        <v>4987</v>
      </c>
      <c r="K1427" t="str">
        <f>"5208365601"</f>
        <v>5208365601</v>
      </c>
      <c r="L1427" t="str">
        <f>"4140"</f>
        <v>4140</v>
      </c>
      <c r="M1427" t="str">
        <f>""</f>
        <v/>
      </c>
      <c r="N1427" t="str">
        <f>""</f>
        <v/>
      </c>
      <c r="O1427" t="s">
        <v>4988</v>
      </c>
      <c r="P1427" t="s">
        <v>4989</v>
      </c>
      <c r="R1427" t="s">
        <v>4738</v>
      </c>
      <c r="S1427" t="s">
        <v>36</v>
      </c>
      <c r="T1427" t="str">
        <f t="shared" si="248"/>
        <v>85122</v>
      </c>
      <c r="U1427" t="str">
        <f>""</f>
        <v/>
      </c>
      <c r="V1427" t="s">
        <v>4990</v>
      </c>
      <c r="X1427" t="s">
        <v>4738</v>
      </c>
      <c r="Y1427" t="s">
        <v>36</v>
      </c>
      <c r="Z1427" t="str">
        <f t="shared" si="249"/>
        <v>85122</v>
      </c>
      <c r="AA1427" t="str">
        <f>""</f>
        <v/>
      </c>
      <c r="AB1427" t="s">
        <v>508</v>
      </c>
    </row>
    <row r="1428" spans="1:28" x14ac:dyDescent="0.25">
      <c r="A1428">
        <v>4446</v>
      </c>
      <c r="B1428" t="str">
        <f t="shared" si="247"/>
        <v>110404000</v>
      </c>
      <c r="C1428" t="s">
        <v>4979</v>
      </c>
      <c r="D1428">
        <v>5930</v>
      </c>
      <c r="E1428" t="str">
        <f>"110404102"</f>
        <v>110404102</v>
      </c>
      <c r="F1428" t="s">
        <v>4991</v>
      </c>
      <c r="G1428" t="s">
        <v>42</v>
      </c>
      <c r="H1428" t="s">
        <v>2020</v>
      </c>
      <c r="I1428" t="s">
        <v>4992</v>
      </c>
      <c r="J1428" t="s">
        <v>4993</v>
      </c>
      <c r="K1428" t="str">
        <f>"5208366694"</f>
        <v>5208366694</v>
      </c>
      <c r="L1428" t="str">
        <f>"4242"</f>
        <v>4242</v>
      </c>
      <c r="M1428" t="str">
        <f>"5208763636"</f>
        <v>5208763636</v>
      </c>
      <c r="N1428" t="str">
        <f>""</f>
        <v/>
      </c>
      <c r="O1428" t="s">
        <v>4994</v>
      </c>
      <c r="P1428" t="s">
        <v>4989</v>
      </c>
      <c r="R1428" t="s">
        <v>4738</v>
      </c>
      <c r="S1428" t="s">
        <v>36</v>
      </c>
      <c r="T1428" t="str">
        <f t="shared" si="248"/>
        <v>85122</v>
      </c>
      <c r="U1428" t="str">
        <f>""</f>
        <v/>
      </c>
      <c r="V1428" t="s">
        <v>4995</v>
      </c>
      <c r="X1428" t="s">
        <v>4738</v>
      </c>
      <c r="Y1428" t="s">
        <v>36</v>
      </c>
      <c r="Z1428" t="str">
        <f t="shared" si="249"/>
        <v>85122</v>
      </c>
      <c r="AA1428" t="str">
        <f>""</f>
        <v/>
      </c>
      <c r="AB1428" t="s">
        <v>508</v>
      </c>
    </row>
    <row r="1429" spans="1:28" x14ac:dyDescent="0.25">
      <c r="A1429">
        <v>4446</v>
      </c>
      <c r="B1429" t="str">
        <f t="shared" si="247"/>
        <v>110404000</v>
      </c>
      <c r="C1429" t="s">
        <v>4979</v>
      </c>
      <c r="D1429">
        <v>5932</v>
      </c>
      <c r="E1429" t="str">
        <f>"110404104"</f>
        <v>110404104</v>
      </c>
      <c r="F1429" t="s">
        <v>4996</v>
      </c>
      <c r="G1429" t="s">
        <v>42</v>
      </c>
      <c r="H1429" t="s">
        <v>1305</v>
      </c>
      <c r="I1429" t="s">
        <v>4997</v>
      </c>
      <c r="J1429" t="s">
        <v>4993</v>
      </c>
      <c r="K1429" t="str">
        <f>"5204211650"</f>
        <v>5204211650</v>
      </c>
      <c r="L1429" t="str">
        <f>"4739"</f>
        <v>4739</v>
      </c>
      <c r="M1429" t="str">
        <f>""</f>
        <v/>
      </c>
      <c r="N1429" t="str">
        <f>""</f>
        <v/>
      </c>
      <c r="O1429" t="s">
        <v>4998</v>
      </c>
      <c r="P1429" t="s">
        <v>4989</v>
      </c>
      <c r="R1429" t="s">
        <v>4738</v>
      </c>
      <c r="S1429" t="s">
        <v>36</v>
      </c>
      <c r="T1429" t="str">
        <f t="shared" si="248"/>
        <v>85122</v>
      </c>
      <c r="U1429" t="str">
        <f>""</f>
        <v/>
      </c>
      <c r="V1429" t="s">
        <v>4999</v>
      </c>
      <c r="X1429" t="s">
        <v>4738</v>
      </c>
      <c r="Y1429" t="s">
        <v>36</v>
      </c>
      <c r="Z1429" t="str">
        <f t="shared" si="249"/>
        <v>85122</v>
      </c>
      <c r="AA1429" t="str">
        <f>""</f>
        <v/>
      </c>
      <c r="AB1429" t="s">
        <v>508</v>
      </c>
    </row>
    <row r="1430" spans="1:28" x14ac:dyDescent="0.25">
      <c r="A1430">
        <v>4446</v>
      </c>
      <c r="B1430" t="str">
        <f t="shared" si="247"/>
        <v>110404000</v>
      </c>
      <c r="C1430" t="s">
        <v>4979</v>
      </c>
      <c r="D1430">
        <v>5933</v>
      </c>
      <c r="E1430" t="str">
        <f>"110404105"</f>
        <v>110404105</v>
      </c>
      <c r="F1430" t="s">
        <v>5000</v>
      </c>
      <c r="G1430" t="s">
        <v>42</v>
      </c>
      <c r="H1430" t="s">
        <v>1874</v>
      </c>
      <c r="I1430" t="s">
        <v>2435</v>
      </c>
      <c r="J1430" t="s">
        <v>926</v>
      </c>
      <c r="K1430" t="str">
        <f>"5208367661"</f>
        <v>5208367661</v>
      </c>
      <c r="L1430" t="str">
        <f>"4841"</f>
        <v>4841</v>
      </c>
      <c r="M1430" t="str">
        <f>"5208763630"</f>
        <v>5208763630</v>
      </c>
      <c r="N1430" t="str">
        <f>""</f>
        <v/>
      </c>
      <c r="O1430" t="s">
        <v>5001</v>
      </c>
      <c r="P1430" t="s">
        <v>4983</v>
      </c>
      <c r="R1430" t="s">
        <v>4738</v>
      </c>
      <c r="S1430" t="s">
        <v>36</v>
      </c>
      <c r="T1430" t="str">
        <f t="shared" si="248"/>
        <v>85122</v>
      </c>
      <c r="U1430" t="str">
        <f>""</f>
        <v/>
      </c>
      <c r="V1430" t="s">
        <v>5002</v>
      </c>
      <c r="X1430" t="s">
        <v>4738</v>
      </c>
      <c r="Y1430" t="s">
        <v>36</v>
      </c>
      <c r="Z1430" t="str">
        <f t="shared" si="249"/>
        <v>85122</v>
      </c>
      <c r="AA1430" t="str">
        <f>""</f>
        <v/>
      </c>
      <c r="AB1430" t="s">
        <v>508</v>
      </c>
    </row>
    <row r="1431" spans="1:28" x14ac:dyDescent="0.25">
      <c r="A1431">
        <v>4446</v>
      </c>
      <c r="B1431" t="str">
        <f t="shared" si="247"/>
        <v>110404000</v>
      </c>
      <c r="C1431" t="s">
        <v>4979</v>
      </c>
      <c r="D1431">
        <v>5934</v>
      </c>
      <c r="E1431" t="str">
        <f>"110404106"</f>
        <v>110404106</v>
      </c>
      <c r="F1431" t="s">
        <v>5003</v>
      </c>
      <c r="G1431" t="s">
        <v>42</v>
      </c>
      <c r="H1431" t="s">
        <v>1874</v>
      </c>
      <c r="I1431" t="s">
        <v>2435</v>
      </c>
      <c r="J1431" t="s">
        <v>4993</v>
      </c>
      <c r="K1431" t="str">
        <f>"5208367310"</f>
        <v>5208367310</v>
      </c>
      <c r="L1431" t="str">
        <f>"4479"</f>
        <v>4479</v>
      </c>
      <c r="M1431" t="str">
        <f>""</f>
        <v/>
      </c>
      <c r="N1431" t="str">
        <f>""</f>
        <v/>
      </c>
      <c r="O1431" t="s">
        <v>5001</v>
      </c>
      <c r="P1431" t="s">
        <v>4989</v>
      </c>
      <c r="R1431" t="s">
        <v>4738</v>
      </c>
      <c r="S1431" t="s">
        <v>36</v>
      </c>
      <c r="T1431" t="str">
        <f t="shared" si="248"/>
        <v>85122</v>
      </c>
      <c r="U1431" t="str">
        <f>""</f>
        <v/>
      </c>
      <c r="V1431" t="s">
        <v>5004</v>
      </c>
      <c r="X1431" t="s">
        <v>4738</v>
      </c>
      <c r="Y1431" t="s">
        <v>36</v>
      </c>
      <c r="Z1431" t="str">
        <f t="shared" si="249"/>
        <v>85122</v>
      </c>
      <c r="AA1431" t="str">
        <f>""</f>
        <v/>
      </c>
      <c r="AB1431" t="s">
        <v>508</v>
      </c>
    </row>
    <row r="1432" spans="1:28" x14ac:dyDescent="0.25">
      <c r="A1432">
        <v>4446</v>
      </c>
      <c r="B1432" t="str">
        <f t="shared" si="247"/>
        <v>110404000</v>
      </c>
      <c r="C1432" t="s">
        <v>4979</v>
      </c>
      <c r="D1432">
        <v>5935</v>
      </c>
      <c r="E1432" t="str">
        <f>"110404107"</f>
        <v>110404107</v>
      </c>
      <c r="F1432" t="s">
        <v>5005</v>
      </c>
      <c r="G1432" t="s">
        <v>42</v>
      </c>
      <c r="H1432" t="s">
        <v>1595</v>
      </c>
      <c r="I1432" t="s">
        <v>5006</v>
      </c>
      <c r="J1432" t="s">
        <v>926</v>
      </c>
      <c r="K1432" t="str">
        <f>"5208364719"</f>
        <v>5208364719</v>
      </c>
      <c r="L1432" t="str">
        <f>"4041"</f>
        <v>4041</v>
      </c>
      <c r="M1432" t="str">
        <f>""</f>
        <v/>
      </c>
      <c r="N1432" t="str">
        <f>""</f>
        <v/>
      </c>
      <c r="O1432" t="s">
        <v>5007</v>
      </c>
      <c r="P1432" t="s">
        <v>4989</v>
      </c>
      <c r="R1432" t="s">
        <v>4738</v>
      </c>
      <c r="S1432" t="s">
        <v>36</v>
      </c>
      <c r="T1432" t="str">
        <f t="shared" si="248"/>
        <v>85122</v>
      </c>
      <c r="U1432" t="str">
        <f>""</f>
        <v/>
      </c>
      <c r="V1432" t="s">
        <v>5008</v>
      </c>
      <c r="X1432" t="s">
        <v>4738</v>
      </c>
      <c r="Y1432" t="s">
        <v>36</v>
      </c>
      <c r="Z1432" t="str">
        <f t="shared" si="249"/>
        <v>85122</v>
      </c>
      <c r="AA1432" t="str">
        <f>""</f>
        <v/>
      </c>
      <c r="AB1432" t="s">
        <v>508</v>
      </c>
    </row>
    <row r="1433" spans="1:28" x14ac:dyDescent="0.25">
      <c r="A1433">
        <v>4446</v>
      </c>
      <c r="B1433" t="str">
        <f t="shared" si="247"/>
        <v>110404000</v>
      </c>
      <c r="C1433" t="s">
        <v>4979</v>
      </c>
      <c r="D1433">
        <v>5936</v>
      </c>
      <c r="E1433" t="str">
        <f>"110404108"</f>
        <v>110404108</v>
      </c>
      <c r="F1433" t="s">
        <v>5009</v>
      </c>
      <c r="G1433" t="s">
        <v>42</v>
      </c>
      <c r="H1433" t="s">
        <v>3542</v>
      </c>
      <c r="I1433" t="s">
        <v>5010</v>
      </c>
      <c r="J1433" t="s">
        <v>4993</v>
      </c>
      <c r="K1433" t="str">
        <f>"5208365086"</f>
        <v>5208365086</v>
      </c>
      <c r="L1433" t="str">
        <f>"4346"</f>
        <v>4346</v>
      </c>
      <c r="M1433" t="str">
        <f>"5208763636"</f>
        <v>5208763636</v>
      </c>
      <c r="N1433" t="str">
        <f>""</f>
        <v/>
      </c>
      <c r="O1433" t="s">
        <v>5011</v>
      </c>
      <c r="P1433" t="s">
        <v>4989</v>
      </c>
      <c r="R1433" t="s">
        <v>4738</v>
      </c>
      <c r="S1433" t="s">
        <v>36</v>
      </c>
      <c r="T1433" t="str">
        <f t="shared" si="248"/>
        <v>85122</v>
      </c>
      <c r="U1433" t="str">
        <f>""</f>
        <v/>
      </c>
      <c r="V1433" t="s">
        <v>5012</v>
      </c>
      <c r="X1433" t="s">
        <v>4738</v>
      </c>
      <c r="Y1433" t="s">
        <v>36</v>
      </c>
      <c r="Z1433" t="str">
        <f t="shared" si="249"/>
        <v>85122</v>
      </c>
      <c r="AA1433" t="str">
        <f>""</f>
        <v/>
      </c>
      <c r="AB1433" t="s">
        <v>508</v>
      </c>
    </row>
    <row r="1434" spans="1:28" x14ac:dyDescent="0.25">
      <c r="A1434">
        <v>4446</v>
      </c>
      <c r="B1434" t="str">
        <f t="shared" si="247"/>
        <v>110404000</v>
      </c>
      <c r="C1434" t="s">
        <v>4979</v>
      </c>
      <c r="D1434">
        <v>5937</v>
      </c>
      <c r="E1434" t="str">
        <f>"110404109"</f>
        <v>110404109</v>
      </c>
      <c r="F1434" t="s">
        <v>1327</v>
      </c>
      <c r="G1434" t="s">
        <v>42</v>
      </c>
      <c r="H1434" t="s">
        <v>398</v>
      </c>
      <c r="I1434" t="s">
        <v>3013</v>
      </c>
      <c r="J1434" t="s">
        <v>4993</v>
      </c>
      <c r="K1434" t="str">
        <f>"5208367787"</f>
        <v>5208367787</v>
      </c>
      <c r="L1434" t="str">
        <f>"4540"</f>
        <v>4540</v>
      </c>
      <c r="M1434" t="str">
        <f>""</f>
        <v/>
      </c>
      <c r="N1434" t="str">
        <f>""</f>
        <v/>
      </c>
      <c r="O1434" t="s">
        <v>5013</v>
      </c>
      <c r="P1434" t="s">
        <v>4989</v>
      </c>
      <c r="R1434" t="s">
        <v>4738</v>
      </c>
      <c r="S1434" t="s">
        <v>36</v>
      </c>
      <c r="T1434" t="str">
        <f t="shared" si="248"/>
        <v>85122</v>
      </c>
      <c r="U1434" t="str">
        <f>""</f>
        <v/>
      </c>
      <c r="V1434" t="s">
        <v>5014</v>
      </c>
      <c r="X1434" t="s">
        <v>4738</v>
      </c>
      <c r="Y1434" t="s">
        <v>36</v>
      </c>
      <c r="Z1434" t="str">
        <f t="shared" si="249"/>
        <v>85122</v>
      </c>
      <c r="AA1434" t="str">
        <f>""</f>
        <v/>
      </c>
      <c r="AB1434" t="s">
        <v>508</v>
      </c>
    </row>
    <row r="1435" spans="1:28" x14ac:dyDescent="0.25">
      <c r="A1435">
        <v>4446</v>
      </c>
      <c r="B1435" t="str">
        <f t="shared" si="247"/>
        <v>110404000</v>
      </c>
      <c r="C1435" t="s">
        <v>4979</v>
      </c>
      <c r="D1435">
        <v>79692</v>
      </c>
      <c r="E1435" t="str">
        <f>"110404110"</f>
        <v>110404110</v>
      </c>
      <c r="F1435" t="s">
        <v>5015</v>
      </c>
      <c r="G1435" t="s">
        <v>42</v>
      </c>
      <c r="H1435" t="s">
        <v>1688</v>
      </c>
      <c r="I1435" t="s">
        <v>5016</v>
      </c>
      <c r="J1435" t="s">
        <v>4993</v>
      </c>
      <c r="K1435" t="str">
        <f>"5204213330"</f>
        <v>5204213330</v>
      </c>
      <c r="L1435" t="str">
        <f>"4920"</f>
        <v>4920</v>
      </c>
      <c r="M1435" t="str">
        <f>""</f>
        <v/>
      </c>
      <c r="N1435" t="str">
        <f>""</f>
        <v/>
      </c>
      <c r="O1435" t="s">
        <v>5017</v>
      </c>
      <c r="P1435" t="s">
        <v>5018</v>
      </c>
      <c r="R1435" t="s">
        <v>4738</v>
      </c>
      <c r="S1435" t="s">
        <v>36</v>
      </c>
      <c r="T1435" t="str">
        <f>"85222"</f>
        <v>85222</v>
      </c>
      <c r="U1435" t="str">
        <f>""</f>
        <v/>
      </c>
      <c r="V1435" t="s">
        <v>5019</v>
      </c>
      <c r="X1435" t="s">
        <v>4738</v>
      </c>
      <c r="Y1435" t="s">
        <v>36</v>
      </c>
      <c r="Z1435" t="str">
        <f>"85222"</f>
        <v>85222</v>
      </c>
      <c r="AA1435" t="str">
        <f>""</f>
        <v/>
      </c>
      <c r="AB1435" t="s">
        <v>508</v>
      </c>
    </row>
    <row r="1436" spans="1:28" x14ac:dyDescent="0.25">
      <c r="A1436">
        <v>4446</v>
      </c>
      <c r="B1436" t="str">
        <f t="shared" si="247"/>
        <v>110404000</v>
      </c>
      <c r="C1436" t="s">
        <v>4979</v>
      </c>
      <c r="D1436">
        <v>87948</v>
      </c>
      <c r="E1436" t="str">
        <f>"110404130"</f>
        <v>110404130</v>
      </c>
      <c r="F1436" t="s">
        <v>1926</v>
      </c>
      <c r="G1436" t="s">
        <v>42</v>
      </c>
      <c r="H1436" t="s">
        <v>1831</v>
      </c>
      <c r="I1436" t="s">
        <v>5020</v>
      </c>
      <c r="J1436" t="s">
        <v>926</v>
      </c>
      <c r="K1436" t="str">
        <f>"5208765397"</f>
        <v>5208765397</v>
      </c>
      <c r="L1436" t="str">
        <f>""</f>
        <v/>
      </c>
      <c r="M1436" t="str">
        <f>""</f>
        <v/>
      </c>
      <c r="N1436" t="str">
        <f>""</f>
        <v/>
      </c>
      <c r="O1436" t="s">
        <v>5021</v>
      </c>
      <c r="P1436" t="s">
        <v>4989</v>
      </c>
      <c r="R1436" t="s">
        <v>4738</v>
      </c>
      <c r="S1436" t="s">
        <v>36</v>
      </c>
      <c r="T1436" t="str">
        <f>"85122"</f>
        <v>85122</v>
      </c>
      <c r="U1436" t="str">
        <f>""</f>
        <v/>
      </c>
      <c r="V1436" t="s">
        <v>5022</v>
      </c>
      <c r="X1436" t="s">
        <v>4738</v>
      </c>
      <c r="Y1436" t="s">
        <v>36</v>
      </c>
      <c r="Z1436" t="str">
        <f>"85122"</f>
        <v>85122</v>
      </c>
      <c r="AA1436" t="str">
        <f>""</f>
        <v/>
      </c>
      <c r="AB1436" t="s">
        <v>508</v>
      </c>
    </row>
    <row r="1437" spans="1:28" x14ac:dyDescent="0.25">
      <c r="A1437">
        <v>4446</v>
      </c>
      <c r="B1437" t="str">
        <f t="shared" si="247"/>
        <v>110404000</v>
      </c>
      <c r="C1437" t="s">
        <v>4979</v>
      </c>
      <c r="D1437">
        <v>89578</v>
      </c>
      <c r="E1437" t="str">
        <f>"110404132"</f>
        <v>110404132</v>
      </c>
      <c r="F1437" t="s">
        <v>5023</v>
      </c>
      <c r="G1437" t="s">
        <v>42</v>
      </c>
      <c r="H1437" t="s">
        <v>2308</v>
      </c>
      <c r="I1437" t="s">
        <v>5024</v>
      </c>
      <c r="J1437" t="s">
        <v>1652</v>
      </c>
      <c r="K1437" t="str">
        <f>"5208764235"</f>
        <v>5208764235</v>
      </c>
      <c r="L1437" t="str">
        <f>""</f>
        <v/>
      </c>
      <c r="M1437" t="str">
        <f>""</f>
        <v/>
      </c>
      <c r="N1437" t="str">
        <f>""</f>
        <v/>
      </c>
      <c r="O1437" t="s">
        <v>5025</v>
      </c>
      <c r="P1437" t="s">
        <v>4989</v>
      </c>
      <c r="R1437" t="s">
        <v>4738</v>
      </c>
      <c r="S1437" t="s">
        <v>36</v>
      </c>
      <c r="T1437" t="str">
        <f>"85122"</f>
        <v>85122</v>
      </c>
      <c r="U1437" t="str">
        <f>""</f>
        <v/>
      </c>
      <c r="V1437" t="s">
        <v>5026</v>
      </c>
      <c r="X1437" t="s">
        <v>4738</v>
      </c>
      <c r="Y1437" t="s">
        <v>36</v>
      </c>
      <c r="Z1437" t="str">
        <f>"85122"</f>
        <v>85122</v>
      </c>
      <c r="AA1437" t="str">
        <f>""</f>
        <v/>
      </c>
      <c r="AB1437" t="s">
        <v>508</v>
      </c>
    </row>
    <row r="1438" spans="1:28" x14ac:dyDescent="0.25">
      <c r="A1438">
        <v>4446</v>
      </c>
      <c r="B1438" t="str">
        <f t="shared" si="247"/>
        <v>110404000</v>
      </c>
      <c r="C1438" t="s">
        <v>4979</v>
      </c>
      <c r="D1438">
        <v>89579</v>
      </c>
      <c r="E1438" t="str">
        <f>"110404131"</f>
        <v>110404131</v>
      </c>
      <c r="F1438" t="s">
        <v>5027</v>
      </c>
      <c r="G1438" t="s">
        <v>42</v>
      </c>
      <c r="H1438" t="s">
        <v>5028</v>
      </c>
      <c r="I1438" t="s">
        <v>5029</v>
      </c>
      <c r="J1438" t="s">
        <v>926</v>
      </c>
      <c r="K1438" t="str">
        <f>"5204230176"</f>
        <v>5204230176</v>
      </c>
      <c r="L1438" t="str">
        <f>"5171"</f>
        <v>5171</v>
      </c>
      <c r="M1438" t="str">
        <f>"5208763636"</f>
        <v>5208763636</v>
      </c>
      <c r="N1438" t="str">
        <f>""</f>
        <v/>
      </c>
      <c r="O1438" t="s">
        <v>5030</v>
      </c>
      <c r="P1438" t="s">
        <v>5031</v>
      </c>
      <c r="R1438" t="s">
        <v>4738</v>
      </c>
      <c r="S1438" t="s">
        <v>36</v>
      </c>
      <c r="T1438" t="str">
        <f>"85122"</f>
        <v>85122</v>
      </c>
      <c r="U1438" t="str">
        <f>""</f>
        <v/>
      </c>
      <c r="V1438" t="s">
        <v>5032</v>
      </c>
      <c r="X1438" t="s">
        <v>4738</v>
      </c>
      <c r="Y1438" t="s">
        <v>36</v>
      </c>
      <c r="Z1438" t="str">
        <f>"85122"</f>
        <v>85122</v>
      </c>
      <c r="AA1438" t="str">
        <f>""</f>
        <v/>
      </c>
      <c r="AB1438" t="s">
        <v>508</v>
      </c>
    </row>
    <row r="1439" spans="1:28" x14ac:dyDescent="0.25">
      <c r="A1439">
        <v>4447</v>
      </c>
      <c r="B1439" t="str">
        <f>"110405000"</f>
        <v>110405000</v>
      </c>
      <c r="C1439" t="s">
        <v>5033</v>
      </c>
      <c r="D1439">
        <v>0</v>
      </c>
      <c r="E1439" t="str">
        <f>""</f>
        <v/>
      </c>
      <c r="G1439" t="s">
        <v>29</v>
      </c>
      <c r="H1439" t="s">
        <v>5034</v>
      </c>
      <c r="I1439" t="s">
        <v>5035</v>
      </c>
      <c r="J1439" t="s">
        <v>4104</v>
      </c>
      <c r="K1439" t="str">
        <f>"5206823331"</f>
        <v>5206823331</v>
      </c>
      <c r="L1439" t="str">
        <f>""</f>
        <v/>
      </c>
      <c r="M1439" t="str">
        <f>"5209177310"</f>
        <v>5209177310</v>
      </c>
      <c r="N1439" t="str">
        <f>""</f>
        <v/>
      </c>
      <c r="O1439" t="s">
        <v>5036</v>
      </c>
      <c r="P1439" t="s">
        <v>5037</v>
      </c>
      <c r="R1439" t="s">
        <v>5038</v>
      </c>
      <c r="S1439" t="s">
        <v>36</v>
      </c>
      <c r="T1439" t="str">
        <f>"85145"</f>
        <v>85145</v>
      </c>
      <c r="U1439" t="str">
        <f>""</f>
        <v/>
      </c>
      <c r="V1439" t="s">
        <v>5039</v>
      </c>
      <c r="X1439" t="s">
        <v>5038</v>
      </c>
      <c r="Y1439" t="s">
        <v>36</v>
      </c>
      <c r="Z1439" t="str">
        <f>"85145"</f>
        <v>85145</v>
      </c>
      <c r="AA1439" t="str">
        <f>""</f>
        <v/>
      </c>
      <c r="AB1439" t="s">
        <v>249</v>
      </c>
    </row>
    <row r="1440" spans="1:28" x14ac:dyDescent="0.25">
      <c r="A1440">
        <v>4447</v>
      </c>
      <c r="B1440" t="str">
        <f>"110405000"</f>
        <v>110405000</v>
      </c>
      <c r="C1440" t="s">
        <v>5033</v>
      </c>
      <c r="D1440">
        <v>5938</v>
      </c>
      <c r="E1440" t="str">
        <f>"110405101"</f>
        <v>110405101</v>
      </c>
      <c r="F1440" t="s">
        <v>5040</v>
      </c>
      <c r="G1440" t="s">
        <v>42</v>
      </c>
      <c r="H1440" t="s">
        <v>5041</v>
      </c>
      <c r="I1440" t="s">
        <v>5042</v>
      </c>
      <c r="J1440" t="s">
        <v>5043</v>
      </c>
      <c r="K1440" t="str">
        <f>"5206823331"</f>
        <v>5206823331</v>
      </c>
      <c r="L1440" t="str">
        <f>""</f>
        <v/>
      </c>
      <c r="M1440" t="str">
        <f>"5209177310"</f>
        <v>5209177310</v>
      </c>
      <c r="N1440" t="str">
        <f>""</f>
        <v/>
      </c>
      <c r="O1440" t="s">
        <v>5044</v>
      </c>
      <c r="P1440" t="s">
        <v>5045</v>
      </c>
      <c r="R1440" t="s">
        <v>5046</v>
      </c>
      <c r="S1440" t="s">
        <v>36</v>
      </c>
      <c r="T1440" t="str">
        <f>"85145"</f>
        <v>85145</v>
      </c>
      <c r="U1440" t="str">
        <f>""</f>
        <v/>
      </c>
      <c r="V1440" t="s">
        <v>5039</v>
      </c>
      <c r="X1440" t="s">
        <v>5046</v>
      </c>
      <c r="Y1440" t="s">
        <v>36</v>
      </c>
      <c r="Z1440" t="str">
        <f>"85145"</f>
        <v>85145</v>
      </c>
      <c r="AA1440" t="str">
        <f>""</f>
        <v/>
      </c>
      <c r="AB1440" t="s">
        <v>249</v>
      </c>
    </row>
    <row r="1441" spans="1:28" x14ac:dyDescent="0.25">
      <c r="A1441">
        <v>4448</v>
      </c>
      <c r="B1441" t="str">
        <f>"110411000"</f>
        <v>110411000</v>
      </c>
      <c r="C1441" t="s">
        <v>5047</v>
      </c>
      <c r="D1441">
        <v>0</v>
      </c>
      <c r="E1441" t="str">
        <f>""</f>
        <v/>
      </c>
      <c r="G1441" t="s">
        <v>29</v>
      </c>
      <c r="H1441" t="s">
        <v>5048</v>
      </c>
      <c r="I1441" t="s">
        <v>5049</v>
      </c>
      <c r="J1441" t="s">
        <v>32</v>
      </c>
      <c r="K1441" t="str">
        <f>"5204662125"</f>
        <v>5204662125</v>
      </c>
      <c r="L1441" t="str">
        <f>""</f>
        <v/>
      </c>
      <c r="M1441" t="str">
        <f>"5204662128"</f>
        <v>5204662128</v>
      </c>
      <c r="N1441" t="str">
        <f>""</f>
        <v/>
      </c>
      <c r="O1441" t="s">
        <v>5050</v>
      </c>
      <c r="P1441" t="s">
        <v>5051</v>
      </c>
      <c r="R1441" t="s">
        <v>4755</v>
      </c>
      <c r="S1441" t="s">
        <v>36</v>
      </c>
      <c r="T1441" t="str">
        <f>"85131"</f>
        <v>85131</v>
      </c>
      <c r="U1441" t="str">
        <f>""</f>
        <v/>
      </c>
      <c r="V1441" t="s">
        <v>5051</v>
      </c>
      <c r="X1441" t="s">
        <v>4755</v>
      </c>
      <c r="Y1441" t="s">
        <v>36</v>
      </c>
      <c r="Z1441" t="str">
        <f>"85131"</f>
        <v>85131</v>
      </c>
      <c r="AA1441" t="str">
        <f>""</f>
        <v/>
      </c>
      <c r="AB1441" t="s">
        <v>592</v>
      </c>
    </row>
    <row r="1442" spans="1:28" x14ac:dyDescent="0.25">
      <c r="A1442">
        <v>4448</v>
      </c>
      <c r="B1442" t="str">
        <f>"110411000"</f>
        <v>110411000</v>
      </c>
      <c r="C1442" t="s">
        <v>5047</v>
      </c>
      <c r="D1442">
        <v>5940</v>
      </c>
      <c r="E1442" t="str">
        <f>"110411103"</f>
        <v>110411103</v>
      </c>
      <c r="F1442" t="s">
        <v>5052</v>
      </c>
      <c r="G1442" t="s">
        <v>42</v>
      </c>
      <c r="H1442" t="s">
        <v>5048</v>
      </c>
      <c r="I1442" t="s">
        <v>5049</v>
      </c>
      <c r="J1442" t="s">
        <v>32</v>
      </c>
      <c r="K1442" t="str">
        <f>"5204662125"</f>
        <v>5204662125</v>
      </c>
      <c r="L1442" t="str">
        <f>""</f>
        <v/>
      </c>
      <c r="M1442" t="str">
        <f>"5204662128"</f>
        <v>5204662128</v>
      </c>
      <c r="N1442" t="str">
        <f>""</f>
        <v/>
      </c>
      <c r="O1442" t="s">
        <v>5050</v>
      </c>
      <c r="P1442" t="s">
        <v>5053</v>
      </c>
      <c r="R1442" t="s">
        <v>4755</v>
      </c>
      <c r="S1442" t="s">
        <v>36</v>
      </c>
      <c r="T1442" t="str">
        <f>"85131"</f>
        <v>85131</v>
      </c>
      <c r="U1442" t="str">
        <f>""</f>
        <v/>
      </c>
      <c r="V1442" t="s">
        <v>5054</v>
      </c>
      <c r="X1442" t="s">
        <v>4755</v>
      </c>
      <c r="Y1442" t="s">
        <v>36</v>
      </c>
      <c r="Z1442" t="str">
        <f>"85131"</f>
        <v>85131</v>
      </c>
      <c r="AA1442" t="str">
        <f>""</f>
        <v/>
      </c>
      <c r="AB1442" t="s">
        <v>592</v>
      </c>
    </row>
    <row r="1443" spans="1:28" x14ac:dyDescent="0.25">
      <c r="A1443">
        <v>4448</v>
      </c>
      <c r="B1443" t="str">
        <f>"110411000"</f>
        <v>110411000</v>
      </c>
      <c r="C1443" t="s">
        <v>5047</v>
      </c>
      <c r="D1443">
        <v>5941</v>
      </c>
      <c r="E1443" t="str">
        <f>"110411104"</f>
        <v>110411104</v>
      </c>
      <c r="F1443" t="s">
        <v>5055</v>
      </c>
      <c r="G1443" t="s">
        <v>42</v>
      </c>
      <c r="H1443" t="s">
        <v>5048</v>
      </c>
      <c r="I1443" t="s">
        <v>5049</v>
      </c>
      <c r="J1443" t="s">
        <v>32</v>
      </c>
      <c r="K1443" t="str">
        <f>"5204662125"</f>
        <v>5204662125</v>
      </c>
      <c r="L1443" t="str">
        <f>""</f>
        <v/>
      </c>
      <c r="M1443" t="str">
        <f>"5204662128"</f>
        <v>5204662128</v>
      </c>
      <c r="N1443" t="str">
        <f>""</f>
        <v/>
      </c>
      <c r="O1443" t="s">
        <v>5050</v>
      </c>
      <c r="P1443" t="s">
        <v>5051</v>
      </c>
      <c r="R1443" t="s">
        <v>4755</v>
      </c>
      <c r="S1443" t="s">
        <v>36</v>
      </c>
      <c r="T1443" t="str">
        <f>"85131"</f>
        <v>85131</v>
      </c>
      <c r="U1443" t="str">
        <f>""</f>
        <v/>
      </c>
      <c r="V1443" t="s">
        <v>5056</v>
      </c>
      <c r="X1443" t="s">
        <v>4755</v>
      </c>
      <c r="Y1443" t="s">
        <v>36</v>
      </c>
      <c r="Z1443" t="str">
        <f>"85131"</f>
        <v>85131</v>
      </c>
      <c r="AA1443" t="str">
        <f>""</f>
        <v/>
      </c>
      <c r="AB1443" t="s">
        <v>592</v>
      </c>
    </row>
    <row r="1444" spans="1:28" x14ac:dyDescent="0.25">
      <c r="A1444">
        <v>4448</v>
      </c>
      <c r="B1444" t="str">
        <f>"110411000"</f>
        <v>110411000</v>
      </c>
      <c r="C1444" t="s">
        <v>5047</v>
      </c>
      <c r="D1444">
        <v>5942</v>
      </c>
      <c r="E1444" t="str">
        <f>"110411105"</f>
        <v>110411105</v>
      </c>
      <c r="F1444" t="s">
        <v>5057</v>
      </c>
      <c r="G1444" t="s">
        <v>42</v>
      </c>
      <c r="H1444" t="s">
        <v>5048</v>
      </c>
      <c r="I1444" t="s">
        <v>5049</v>
      </c>
      <c r="J1444" t="s">
        <v>32</v>
      </c>
      <c r="K1444" t="str">
        <f>"5204662125"</f>
        <v>5204662125</v>
      </c>
      <c r="L1444" t="str">
        <f>""</f>
        <v/>
      </c>
      <c r="M1444" t="str">
        <f>"5204662128"</f>
        <v>5204662128</v>
      </c>
      <c r="N1444" t="str">
        <f>""</f>
        <v/>
      </c>
      <c r="O1444" t="s">
        <v>5050</v>
      </c>
      <c r="P1444" t="s">
        <v>5051</v>
      </c>
      <c r="R1444" t="s">
        <v>4755</v>
      </c>
      <c r="S1444" t="s">
        <v>36</v>
      </c>
      <c r="T1444" t="str">
        <f>"85131"</f>
        <v>85131</v>
      </c>
      <c r="U1444" t="str">
        <f>""</f>
        <v/>
      </c>
      <c r="V1444" t="s">
        <v>5058</v>
      </c>
      <c r="X1444" t="s">
        <v>4755</v>
      </c>
      <c r="Y1444" t="s">
        <v>36</v>
      </c>
      <c r="Z1444" t="str">
        <f>"85131"</f>
        <v>85131</v>
      </c>
      <c r="AA1444" t="str">
        <f>""</f>
        <v/>
      </c>
      <c r="AB1444" t="s">
        <v>592</v>
      </c>
    </row>
    <row r="1445" spans="1:28" x14ac:dyDescent="0.25">
      <c r="A1445">
        <v>4449</v>
      </c>
      <c r="B1445" t="str">
        <f>"110418000"</f>
        <v>110418000</v>
      </c>
      <c r="C1445" t="s">
        <v>5059</v>
      </c>
      <c r="D1445">
        <v>0</v>
      </c>
      <c r="E1445" t="str">
        <f>""</f>
        <v/>
      </c>
      <c r="G1445" t="s">
        <v>29</v>
      </c>
      <c r="H1445" t="s">
        <v>5060</v>
      </c>
      <c r="I1445" t="s">
        <v>5061</v>
      </c>
      <c r="J1445" t="s">
        <v>32</v>
      </c>
      <c r="K1445" t="str">
        <f>"4805628600"</f>
        <v>4805628600</v>
      </c>
      <c r="L1445" t="str">
        <f>"2022"</f>
        <v>2022</v>
      </c>
      <c r="M1445" t="str">
        <f>"4807634410"</f>
        <v>4807634410</v>
      </c>
      <c r="N1445" t="str">
        <f>""</f>
        <v/>
      </c>
      <c r="O1445" t="s">
        <v>5062</v>
      </c>
      <c r="P1445" t="s">
        <v>2255</v>
      </c>
      <c r="R1445" t="s">
        <v>5063</v>
      </c>
      <c r="S1445" t="s">
        <v>36</v>
      </c>
      <c r="T1445" t="str">
        <f>"85147"</f>
        <v>85147</v>
      </c>
      <c r="U1445" t="str">
        <f>""</f>
        <v/>
      </c>
      <c r="V1445" t="s">
        <v>5064</v>
      </c>
      <c r="X1445" t="s">
        <v>5063</v>
      </c>
      <c r="Y1445" t="s">
        <v>36</v>
      </c>
      <c r="Z1445" t="str">
        <f>"85147"</f>
        <v>85147</v>
      </c>
      <c r="AA1445" t="str">
        <f>""</f>
        <v/>
      </c>
      <c r="AB1445" t="s">
        <v>632</v>
      </c>
    </row>
    <row r="1446" spans="1:28" x14ac:dyDescent="0.25">
      <c r="A1446">
        <v>4449</v>
      </c>
      <c r="B1446" t="str">
        <f>"110418000"</f>
        <v>110418000</v>
      </c>
      <c r="C1446" t="s">
        <v>5059</v>
      </c>
      <c r="D1446">
        <v>5943</v>
      </c>
      <c r="E1446" t="str">
        <f>"110418001"</f>
        <v>110418001</v>
      </c>
      <c r="F1446" t="s">
        <v>5065</v>
      </c>
      <c r="G1446" t="s">
        <v>42</v>
      </c>
      <c r="H1446" t="s">
        <v>5060</v>
      </c>
      <c r="I1446" t="s">
        <v>5061</v>
      </c>
      <c r="J1446" t="s">
        <v>32</v>
      </c>
      <c r="K1446" t="str">
        <f>"5205628600"</f>
        <v>5205628600</v>
      </c>
      <c r="L1446" t="str">
        <f>"3024"</f>
        <v>3024</v>
      </c>
      <c r="M1446" t="str">
        <f>"4807329343"</f>
        <v>4807329343</v>
      </c>
      <c r="N1446" t="str">
        <f>""</f>
        <v/>
      </c>
      <c r="O1446" t="s">
        <v>5062</v>
      </c>
      <c r="P1446" t="s">
        <v>2255</v>
      </c>
      <c r="R1446" t="s">
        <v>5063</v>
      </c>
      <c r="S1446" t="s">
        <v>36</v>
      </c>
      <c r="T1446" t="str">
        <f>"85147"</f>
        <v>85147</v>
      </c>
      <c r="U1446" t="str">
        <f>""</f>
        <v/>
      </c>
      <c r="V1446" t="s">
        <v>5066</v>
      </c>
      <c r="X1446" t="s">
        <v>5063</v>
      </c>
      <c r="Y1446" t="s">
        <v>36</v>
      </c>
      <c r="Z1446" t="str">
        <f>"81247"</f>
        <v>81247</v>
      </c>
      <c r="AA1446" t="str">
        <f>""</f>
        <v/>
      </c>
      <c r="AB1446" t="s">
        <v>632</v>
      </c>
    </row>
    <row r="1447" spans="1:28" x14ac:dyDescent="0.25">
      <c r="A1447">
        <v>4449</v>
      </c>
      <c r="B1447" t="str">
        <f>"110418000"</f>
        <v>110418000</v>
      </c>
      <c r="C1447" t="s">
        <v>5059</v>
      </c>
      <c r="D1447">
        <v>5944</v>
      </c>
      <c r="E1447" t="str">
        <f>"110418002"</f>
        <v>110418002</v>
      </c>
      <c r="F1447" t="s">
        <v>5067</v>
      </c>
      <c r="G1447" t="s">
        <v>42</v>
      </c>
      <c r="H1447" t="s">
        <v>5060</v>
      </c>
      <c r="I1447" t="s">
        <v>5061</v>
      </c>
      <c r="J1447" t="s">
        <v>32</v>
      </c>
      <c r="K1447" t="str">
        <f>"5205628600"</f>
        <v>5205628600</v>
      </c>
      <c r="L1447" t="str">
        <f>"2022"</f>
        <v>2022</v>
      </c>
      <c r="M1447" t="str">
        <f>"4807329343"</f>
        <v>4807329343</v>
      </c>
      <c r="N1447" t="str">
        <f>""</f>
        <v/>
      </c>
      <c r="O1447" t="s">
        <v>5062</v>
      </c>
      <c r="P1447" t="s">
        <v>2255</v>
      </c>
      <c r="R1447" t="s">
        <v>5063</v>
      </c>
      <c r="S1447" t="s">
        <v>36</v>
      </c>
      <c r="T1447" t="str">
        <f>"85147"</f>
        <v>85147</v>
      </c>
      <c r="U1447" t="str">
        <f>""</f>
        <v/>
      </c>
      <c r="V1447" t="s">
        <v>5068</v>
      </c>
      <c r="X1447" t="s">
        <v>5063</v>
      </c>
      <c r="Y1447" t="s">
        <v>36</v>
      </c>
      <c r="Z1447" t="str">
        <f>"85147"</f>
        <v>85147</v>
      </c>
      <c r="AA1447" t="str">
        <f>""</f>
        <v/>
      </c>
      <c r="AB1447" t="s">
        <v>632</v>
      </c>
    </row>
    <row r="1448" spans="1:28" x14ac:dyDescent="0.25">
      <c r="A1448">
        <v>4450</v>
      </c>
      <c r="B1448" t="str">
        <f>"110422000"</f>
        <v>110422000</v>
      </c>
      <c r="C1448" t="s">
        <v>5069</v>
      </c>
      <c r="D1448">
        <v>0</v>
      </c>
      <c r="E1448" t="str">
        <f>""</f>
        <v/>
      </c>
      <c r="G1448" t="s">
        <v>29</v>
      </c>
      <c r="H1448" t="s">
        <v>840</v>
      </c>
      <c r="I1448" t="s">
        <v>5070</v>
      </c>
      <c r="J1448" t="s">
        <v>32</v>
      </c>
      <c r="K1448" t="str">
        <f>"5204662231"</f>
        <v>5204662231</v>
      </c>
      <c r="L1448" t="str">
        <f>""</f>
        <v/>
      </c>
      <c r="M1448" t="str">
        <f>"5204662398"</f>
        <v>5204662398</v>
      </c>
      <c r="N1448" t="str">
        <f>""</f>
        <v/>
      </c>
      <c r="O1448" t="s">
        <v>5071</v>
      </c>
      <c r="P1448" t="s">
        <v>5072</v>
      </c>
      <c r="R1448" t="s">
        <v>4755</v>
      </c>
      <c r="S1448" t="s">
        <v>36</v>
      </c>
      <c r="T1448" t="str">
        <f>"85131"</f>
        <v>85131</v>
      </c>
      <c r="U1448" t="str">
        <f>""</f>
        <v/>
      </c>
      <c r="V1448" t="s">
        <v>5072</v>
      </c>
      <c r="X1448" t="s">
        <v>4755</v>
      </c>
      <c r="Y1448" t="s">
        <v>36</v>
      </c>
      <c r="Z1448" t="str">
        <f>"85131"</f>
        <v>85131</v>
      </c>
      <c r="AA1448" t="str">
        <f>""</f>
        <v/>
      </c>
      <c r="AB1448" t="s">
        <v>56</v>
      </c>
    </row>
    <row r="1449" spans="1:28" x14ac:dyDescent="0.25">
      <c r="A1449">
        <v>4450</v>
      </c>
      <c r="B1449" t="str">
        <f>"110422000"</f>
        <v>110422000</v>
      </c>
      <c r="C1449" t="s">
        <v>5069</v>
      </c>
      <c r="D1449">
        <v>5945</v>
      </c>
      <c r="E1449" t="str">
        <f>"110422101"</f>
        <v>110422101</v>
      </c>
      <c r="F1449" t="s">
        <v>5073</v>
      </c>
      <c r="G1449" t="s">
        <v>42</v>
      </c>
      <c r="H1449" t="s">
        <v>5074</v>
      </c>
      <c r="I1449" t="s">
        <v>5075</v>
      </c>
      <c r="J1449" t="s">
        <v>118</v>
      </c>
      <c r="K1449" t="str">
        <f>"5204662380"</f>
        <v>5204662380</v>
      </c>
      <c r="L1449" t="str">
        <f>""</f>
        <v/>
      </c>
      <c r="M1449" t="str">
        <f>"5204662399"</f>
        <v>5204662399</v>
      </c>
      <c r="N1449" t="str">
        <f>""</f>
        <v/>
      </c>
      <c r="O1449" t="s">
        <v>5076</v>
      </c>
      <c r="P1449" t="s">
        <v>5077</v>
      </c>
      <c r="R1449" t="s">
        <v>4755</v>
      </c>
      <c r="S1449" t="s">
        <v>36</v>
      </c>
      <c r="T1449" t="str">
        <f>"85131"</f>
        <v>85131</v>
      </c>
      <c r="U1449" t="str">
        <f>""</f>
        <v/>
      </c>
      <c r="V1449" t="s">
        <v>5077</v>
      </c>
      <c r="X1449" t="s">
        <v>4755</v>
      </c>
      <c r="Y1449" t="s">
        <v>36</v>
      </c>
      <c r="Z1449" t="str">
        <f>"85131"</f>
        <v>85131</v>
      </c>
      <c r="AA1449" t="str">
        <f>""</f>
        <v/>
      </c>
      <c r="AB1449" t="s">
        <v>56</v>
      </c>
    </row>
    <row r="1450" spans="1:28" x14ac:dyDescent="0.25">
      <c r="A1450">
        <v>4450</v>
      </c>
      <c r="B1450" t="str">
        <f>"110422000"</f>
        <v>110422000</v>
      </c>
      <c r="C1450" t="s">
        <v>5069</v>
      </c>
      <c r="D1450">
        <v>92244</v>
      </c>
      <c r="E1450" t="str">
        <f>"110422105"</f>
        <v>110422105</v>
      </c>
      <c r="F1450" t="s">
        <v>5078</v>
      </c>
      <c r="G1450" t="s">
        <v>42</v>
      </c>
      <c r="H1450" t="s">
        <v>840</v>
      </c>
      <c r="I1450" t="s">
        <v>5070</v>
      </c>
      <c r="J1450" t="s">
        <v>32</v>
      </c>
      <c r="K1450" t="str">
        <f>"5204662468"</f>
        <v>5204662468</v>
      </c>
      <c r="L1450" t="str">
        <f>""</f>
        <v/>
      </c>
      <c r="M1450" t="str">
        <f>"5204662499"</f>
        <v>5204662499</v>
      </c>
      <c r="N1450" t="str">
        <f>""</f>
        <v/>
      </c>
      <c r="O1450" t="s">
        <v>5071</v>
      </c>
      <c r="P1450" t="s">
        <v>5077</v>
      </c>
      <c r="R1450" t="s">
        <v>4755</v>
      </c>
      <c r="S1450" t="s">
        <v>36</v>
      </c>
      <c r="T1450" t="str">
        <f>"85131"</f>
        <v>85131</v>
      </c>
      <c r="U1450" t="str">
        <f>""</f>
        <v/>
      </c>
      <c r="V1450" t="s">
        <v>5079</v>
      </c>
      <c r="X1450" t="s">
        <v>5080</v>
      </c>
      <c r="Y1450" t="s">
        <v>36</v>
      </c>
      <c r="Z1450" t="str">
        <f>"85123"</f>
        <v>85123</v>
      </c>
      <c r="AA1450" t="str">
        <f>""</f>
        <v/>
      </c>
      <c r="AB1450" t="s">
        <v>56</v>
      </c>
    </row>
    <row r="1451" spans="1:28" x14ac:dyDescent="0.25">
      <c r="A1451">
        <v>4451</v>
      </c>
      <c r="B1451" t="str">
        <f>"110424000"</f>
        <v>110424000</v>
      </c>
      <c r="C1451" t="s">
        <v>5081</v>
      </c>
      <c r="D1451">
        <v>0</v>
      </c>
      <c r="E1451" t="str">
        <f>""</f>
        <v/>
      </c>
      <c r="G1451" t="s">
        <v>29</v>
      </c>
      <c r="H1451" t="s">
        <v>4915</v>
      </c>
      <c r="I1451" t="s">
        <v>5082</v>
      </c>
      <c r="J1451" t="s">
        <v>5083</v>
      </c>
      <c r="K1451" t="str">
        <f>"5204240232"</f>
        <v>5204240232</v>
      </c>
      <c r="L1451" t="str">
        <f>""</f>
        <v/>
      </c>
      <c r="M1451" t="str">
        <f>""</f>
        <v/>
      </c>
      <c r="N1451" t="str">
        <f>""</f>
        <v/>
      </c>
      <c r="O1451" t="s">
        <v>5084</v>
      </c>
      <c r="P1451" t="s">
        <v>5085</v>
      </c>
      <c r="R1451" t="s">
        <v>5086</v>
      </c>
      <c r="S1451" t="s">
        <v>36</v>
      </c>
      <c r="T1451" t="str">
        <f>"85172"</f>
        <v>85172</v>
      </c>
      <c r="U1451" t="str">
        <f>""</f>
        <v/>
      </c>
      <c r="V1451" t="s">
        <v>5085</v>
      </c>
      <c r="X1451" t="s">
        <v>5086</v>
      </c>
      <c r="Y1451" t="s">
        <v>36</v>
      </c>
      <c r="Z1451" t="str">
        <f>"85172"</f>
        <v>85172</v>
      </c>
      <c r="AA1451" t="str">
        <f>""</f>
        <v/>
      </c>
      <c r="AB1451" t="s">
        <v>124</v>
      </c>
    </row>
    <row r="1452" spans="1:28" x14ac:dyDescent="0.25">
      <c r="A1452">
        <v>4451</v>
      </c>
      <c r="B1452" t="str">
        <f>"110424000"</f>
        <v>110424000</v>
      </c>
      <c r="C1452" t="s">
        <v>5081</v>
      </c>
      <c r="D1452">
        <v>5946</v>
      </c>
      <c r="E1452" t="str">
        <f>"110424001"</f>
        <v>110424001</v>
      </c>
      <c r="F1452" t="s">
        <v>5087</v>
      </c>
      <c r="G1452" t="s">
        <v>42</v>
      </c>
      <c r="H1452" t="s">
        <v>5088</v>
      </c>
      <c r="I1452" t="s">
        <v>5089</v>
      </c>
      <c r="J1452" t="s">
        <v>5090</v>
      </c>
      <c r="K1452" t="str">
        <f>"5204240227"</f>
        <v>5204240227</v>
      </c>
      <c r="L1452" t="str">
        <f>""</f>
        <v/>
      </c>
      <c r="M1452" t="str">
        <f>"5204243798"</f>
        <v>5204243798</v>
      </c>
      <c r="N1452" t="str">
        <f>""</f>
        <v/>
      </c>
      <c r="O1452" t="s">
        <v>5091</v>
      </c>
      <c r="P1452" t="s">
        <v>5092</v>
      </c>
      <c r="R1452" t="s">
        <v>5086</v>
      </c>
      <c r="S1452" t="s">
        <v>36</v>
      </c>
      <c r="T1452" t="str">
        <f>"85172"</f>
        <v>85172</v>
      </c>
      <c r="U1452" t="str">
        <f>""</f>
        <v/>
      </c>
      <c r="V1452" t="s">
        <v>5092</v>
      </c>
      <c r="X1452" t="s">
        <v>5086</v>
      </c>
      <c r="Y1452" t="s">
        <v>36</v>
      </c>
      <c r="Z1452" t="str">
        <f>"85172"</f>
        <v>85172</v>
      </c>
      <c r="AA1452" t="str">
        <f>""</f>
        <v/>
      </c>
      <c r="AB1452" t="s">
        <v>124</v>
      </c>
    </row>
    <row r="1453" spans="1:28" x14ac:dyDescent="0.25">
      <c r="A1453">
        <v>4452</v>
      </c>
      <c r="B1453" t="str">
        <f>"110433000"</f>
        <v>110433000</v>
      </c>
      <c r="C1453" t="s">
        <v>5093</v>
      </c>
      <c r="D1453">
        <v>0</v>
      </c>
      <c r="E1453" t="str">
        <f>""</f>
        <v/>
      </c>
      <c r="G1453" t="s">
        <v>29</v>
      </c>
      <c r="H1453" t="s">
        <v>1688</v>
      </c>
      <c r="I1453" t="s">
        <v>3263</v>
      </c>
      <c r="J1453" t="s">
        <v>134</v>
      </c>
      <c r="K1453" t="str">
        <f>"5204667942"</f>
        <v>5204667942</v>
      </c>
      <c r="L1453" t="str">
        <f>"108"</f>
        <v>108</v>
      </c>
      <c r="M1453" t="str">
        <f>"5204667165"</f>
        <v>5204667165</v>
      </c>
      <c r="N1453" t="str">
        <f>""</f>
        <v/>
      </c>
      <c r="O1453" t="s">
        <v>5094</v>
      </c>
      <c r="P1453" t="s">
        <v>5095</v>
      </c>
      <c r="R1453" t="s">
        <v>5096</v>
      </c>
      <c r="S1453" t="s">
        <v>36</v>
      </c>
      <c r="T1453" t="str">
        <f>"85141"</f>
        <v>85141</v>
      </c>
      <c r="U1453" t="str">
        <f>""</f>
        <v/>
      </c>
      <c r="V1453" t="s">
        <v>5095</v>
      </c>
      <c r="X1453" t="s">
        <v>5096</v>
      </c>
      <c r="Y1453" t="s">
        <v>36</v>
      </c>
      <c r="Z1453" t="str">
        <f>"85141"</f>
        <v>85141</v>
      </c>
      <c r="AA1453" t="str">
        <f>""</f>
        <v/>
      </c>
      <c r="AB1453" t="s">
        <v>124</v>
      </c>
    </row>
    <row r="1454" spans="1:28" x14ac:dyDescent="0.25">
      <c r="A1454">
        <v>4452</v>
      </c>
      <c r="B1454" t="str">
        <f>"110433000"</f>
        <v>110433000</v>
      </c>
      <c r="C1454" t="s">
        <v>5093</v>
      </c>
      <c r="D1454">
        <v>5947</v>
      </c>
      <c r="E1454" t="str">
        <f>"110433133"</f>
        <v>110433133</v>
      </c>
      <c r="F1454" t="s">
        <v>5097</v>
      </c>
      <c r="G1454" t="s">
        <v>42</v>
      </c>
      <c r="H1454" t="s">
        <v>5098</v>
      </c>
      <c r="I1454" t="s">
        <v>1570</v>
      </c>
      <c r="J1454" t="s">
        <v>195</v>
      </c>
      <c r="K1454" t="str">
        <f>"5204667942"</f>
        <v>5204667942</v>
      </c>
      <c r="L1454" t="str">
        <f>"106"</f>
        <v>106</v>
      </c>
      <c r="M1454" t="str">
        <f>"5204667165"</f>
        <v>5204667165</v>
      </c>
      <c r="N1454" t="str">
        <f>""</f>
        <v/>
      </c>
      <c r="O1454" t="s">
        <v>5099</v>
      </c>
      <c r="P1454" t="s">
        <v>5095</v>
      </c>
      <c r="R1454" t="s">
        <v>5100</v>
      </c>
      <c r="S1454" t="s">
        <v>36</v>
      </c>
      <c r="T1454" t="str">
        <f>"85141"</f>
        <v>85141</v>
      </c>
      <c r="U1454" t="str">
        <f>""</f>
        <v/>
      </c>
      <c r="V1454" t="s">
        <v>5095</v>
      </c>
      <c r="X1454" t="s">
        <v>5100</v>
      </c>
      <c r="Y1454" t="s">
        <v>36</v>
      </c>
      <c r="Z1454" t="str">
        <f>"85141"</f>
        <v>85141</v>
      </c>
      <c r="AA1454" t="str">
        <f>""</f>
        <v/>
      </c>
      <c r="AB1454" t="s">
        <v>124</v>
      </c>
    </row>
    <row r="1455" spans="1:28" x14ac:dyDescent="0.25">
      <c r="A1455">
        <v>4453</v>
      </c>
      <c r="B1455" t="str">
        <f>"110502000"</f>
        <v>110502000</v>
      </c>
      <c r="C1455" t="s">
        <v>5101</v>
      </c>
      <c r="D1455">
        <v>0</v>
      </c>
      <c r="E1455" t="str">
        <f>""</f>
        <v/>
      </c>
      <c r="G1455" t="s">
        <v>29</v>
      </c>
      <c r="H1455" t="s">
        <v>5102</v>
      </c>
      <c r="I1455" t="s">
        <v>5103</v>
      </c>
      <c r="J1455" t="s">
        <v>5104</v>
      </c>
      <c r="K1455" t="str">
        <f>"5203163360"</f>
        <v>5203163360</v>
      </c>
      <c r="L1455" t="str">
        <f>"1107"</f>
        <v>1107</v>
      </c>
      <c r="M1455" t="str">
        <f>""</f>
        <v/>
      </c>
      <c r="N1455" t="str">
        <f>""</f>
        <v/>
      </c>
      <c r="O1455" t="s">
        <v>5105</v>
      </c>
      <c r="P1455" t="s">
        <v>5106</v>
      </c>
      <c r="R1455" t="s">
        <v>4738</v>
      </c>
      <c r="S1455" t="s">
        <v>36</v>
      </c>
      <c r="T1455" t="str">
        <f>"85122"</f>
        <v>85122</v>
      </c>
      <c r="U1455" t="str">
        <f>""</f>
        <v/>
      </c>
      <c r="V1455" t="s">
        <v>5106</v>
      </c>
      <c r="X1455" t="s">
        <v>4738</v>
      </c>
      <c r="Y1455" t="s">
        <v>36</v>
      </c>
      <c r="Z1455" t="str">
        <f>"85122"</f>
        <v>85122</v>
      </c>
      <c r="AA1455" t="str">
        <f>""</f>
        <v/>
      </c>
      <c r="AB1455" t="s">
        <v>5107</v>
      </c>
    </row>
    <row r="1456" spans="1:28" x14ac:dyDescent="0.25">
      <c r="A1456">
        <v>4453</v>
      </c>
      <c r="B1456" t="str">
        <f>"110502000"</f>
        <v>110502000</v>
      </c>
      <c r="C1456" t="s">
        <v>5101</v>
      </c>
      <c r="D1456">
        <v>5948</v>
      </c>
      <c r="E1456" t="str">
        <f>"110502001"</f>
        <v>110502001</v>
      </c>
      <c r="F1456" t="s">
        <v>5108</v>
      </c>
      <c r="G1456" t="s">
        <v>42</v>
      </c>
      <c r="H1456" t="s">
        <v>5109</v>
      </c>
      <c r="I1456" t="s">
        <v>5110</v>
      </c>
      <c r="J1456" t="s">
        <v>5111</v>
      </c>
      <c r="K1456" t="str">
        <f>"5208769400"</f>
        <v>5208769400</v>
      </c>
      <c r="L1456" t="str">
        <f>"4144"</f>
        <v>4144</v>
      </c>
      <c r="M1456" t="str">
        <f>"5208765348"</f>
        <v>5208765348</v>
      </c>
      <c r="N1456" t="str">
        <f>""</f>
        <v/>
      </c>
      <c r="O1456" t="s">
        <v>5112</v>
      </c>
      <c r="P1456" t="s">
        <v>5106</v>
      </c>
      <c r="R1456" t="s">
        <v>4738</v>
      </c>
      <c r="S1456" t="s">
        <v>36</v>
      </c>
      <c r="T1456" t="str">
        <f>"85122"</f>
        <v>85122</v>
      </c>
      <c r="U1456" t="str">
        <f>""</f>
        <v/>
      </c>
      <c r="V1456" t="s">
        <v>5113</v>
      </c>
      <c r="X1456" t="s">
        <v>4738</v>
      </c>
      <c r="Y1456" t="s">
        <v>36</v>
      </c>
      <c r="Z1456" t="str">
        <f>"85122"</f>
        <v>85122</v>
      </c>
      <c r="AA1456" t="str">
        <f>""</f>
        <v/>
      </c>
      <c r="AB1456" t="s">
        <v>5107</v>
      </c>
    </row>
    <row r="1457" spans="1:28" x14ac:dyDescent="0.25">
      <c r="A1457">
        <v>4453</v>
      </c>
      <c r="B1457" t="str">
        <f>"110502000"</f>
        <v>110502000</v>
      </c>
      <c r="C1457" t="s">
        <v>5101</v>
      </c>
      <c r="D1457">
        <v>90084</v>
      </c>
      <c r="E1457" t="str">
        <f>"110502004"</f>
        <v>110502004</v>
      </c>
      <c r="F1457" t="s">
        <v>5114</v>
      </c>
      <c r="G1457" t="s">
        <v>42</v>
      </c>
      <c r="H1457" t="s">
        <v>373</v>
      </c>
      <c r="I1457" t="s">
        <v>5110</v>
      </c>
      <c r="J1457" t="s">
        <v>5111</v>
      </c>
      <c r="K1457" t="str">
        <f>"5208769400"</f>
        <v>5208769400</v>
      </c>
      <c r="L1457" t="str">
        <f>"4144"</f>
        <v>4144</v>
      </c>
      <c r="M1457" t="str">
        <f>"5208765348"</f>
        <v>5208765348</v>
      </c>
      <c r="N1457" t="str">
        <f>""</f>
        <v/>
      </c>
      <c r="O1457" t="s">
        <v>5112</v>
      </c>
      <c r="P1457" t="s">
        <v>5106</v>
      </c>
      <c r="R1457" t="s">
        <v>4738</v>
      </c>
      <c r="S1457" t="s">
        <v>36</v>
      </c>
      <c r="T1457" t="str">
        <f>"85122"</f>
        <v>85122</v>
      </c>
      <c r="U1457" t="str">
        <f>""</f>
        <v/>
      </c>
      <c r="V1457" t="s">
        <v>5115</v>
      </c>
      <c r="X1457" t="s">
        <v>4738</v>
      </c>
      <c r="Y1457" t="s">
        <v>36</v>
      </c>
      <c r="Z1457" t="str">
        <f>"85122"</f>
        <v>85122</v>
      </c>
      <c r="AA1457" t="str">
        <f>""</f>
        <v/>
      </c>
      <c r="AB1457" t="s">
        <v>5107</v>
      </c>
    </row>
    <row r="1458" spans="1:28" x14ac:dyDescent="0.25">
      <c r="A1458">
        <v>4454</v>
      </c>
      <c r="B1458" t="str">
        <f>"110540000"</f>
        <v>110540000</v>
      </c>
      <c r="C1458" t="s">
        <v>5116</v>
      </c>
      <c r="D1458">
        <v>0</v>
      </c>
      <c r="E1458" t="str">
        <f>""</f>
        <v/>
      </c>
      <c r="G1458" t="s">
        <v>29</v>
      </c>
      <c r="H1458" t="s">
        <v>5117</v>
      </c>
      <c r="I1458" t="s">
        <v>5118</v>
      </c>
      <c r="J1458" t="s">
        <v>134</v>
      </c>
      <c r="K1458" t="str">
        <f>"5204662239"</f>
        <v>5204662239</v>
      </c>
      <c r="L1458" t="str">
        <f>""</f>
        <v/>
      </c>
      <c r="M1458" t="str">
        <f>"5204662222"</f>
        <v>5204662222</v>
      </c>
      <c r="N1458" t="str">
        <f>""</f>
        <v/>
      </c>
      <c r="O1458" t="s">
        <v>5119</v>
      </c>
      <c r="P1458" t="s">
        <v>5120</v>
      </c>
      <c r="R1458" t="s">
        <v>4755</v>
      </c>
      <c r="S1458" t="s">
        <v>36</v>
      </c>
      <c r="T1458" t="str">
        <f>"85131"</f>
        <v>85131</v>
      </c>
      <c r="U1458" t="str">
        <f>""</f>
        <v/>
      </c>
      <c r="V1458" t="s">
        <v>5120</v>
      </c>
      <c r="X1458" t="s">
        <v>4755</v>
      </c>
      <c r="Y1458" t="s">
        <v>36</v>
      </c>
      <c r="Z1458" t="str">
        <f>"85131"</f>
        <v>85131</v>
      </c>
      <c r="AA1458" t="str">
        <f>""</f>
        <v/>
      </c>
      <c r="AB1458" t="s">
        <v>821</v>
      </c>
    </row>
    <row r="1459" spans="1:28" x14ac:dyDescent="0.25">
      <c r="A1459">
        <v>4454</v>
      </c>
      <c r="B1459" t="str">
        <f>"110540000"</f>
        <v>110540000</v>
      </c>
      <c r="C1459" t="s">
        <v>5116</v>
      </c>
      <c r="D1459">
        <v>5951</v>
      </c>
      <c r="E1459" t="str">
        <f>"110540001"</f>
        <v>110540001</v>
      </c>
      <c r="F1459" t="s">
        <v>5121</v>
      </c>
      <c r="G1459" t="s">
        <v>42</v>
      </c>
      <c r="H1459" t="s">
        <v>840</v>
      </c>
      <c r="I1459" t="s">
        <v>5070</v>
      </c>
      <c r="J1459" t="s">
        <v>32</v>
      </c>
      <c r="K1459" t="str">
        <f>"5204662231"</f>
        <v>5204662231</v>
      </c>
      <c r="L1459" t="str">
        <f>""</f>
        <v/>
      </c>
      <c r="M1459" t="str">
        <f>"5204662222"</f>
        <v>5204662222</v>
      </c>
      <c r="N1459" t="str">
        <f>""</f>
        <v/>
      </c>
      <c r="O1459" t="s">
        <v>5122</v>
      </c>
      <c r="P1459" t="s">
        <v>5123</v>
      </c>
      <c r="R1459" t="s">
        <v>4755</v>
      </c>
      <c r="S1459" t="s">
        <v>36</v>
      </c>
      <c r="T1459" t="str">
        <f>"85131"</f>
        <v>85131</v>
      </c>
      <c r="U1459" t="str">
        <f>""</f>
        <v/>
      </c>
      <c r="V1459" t="s">
        <v>5123</v>
      </c>
      <c r="X1459" t="s">
        <v>4755</v>
      </c>
      <c r="Y1459" t="s">
        <v>36</v>
      </c>
      <c r="Z1459" t="str">
        <f>"85131"</f>
        <v>85131</v>
      </c>
      <c r="AA1459" t="str">
        <f>""</f>
        <v/>
      </c>
      <c r="AB1459" t="s">
        <v>821</v>
      </c>
    </row>
    <row r="1460" spans="1:28" x14ac:dyDescent="0.25">
      <c r="A1460">
        <v>4457</v>
      </c>
      <c r="B1460" t="str">
        <f t="shared" ref="B1460:B1470" si="250">"120201000"</f>
        <v>120201000</v>
      </c>
      <c r="C1460" t="s">
        <v>5124</v>
      </c>
      <c r="D1460">
        <v>0</v>
      </c>
      <c r="E1460" t="str">
        <f>""</f>
        <v/>
      </c>
      <c r="G1460" t="s">
        <v>29</v>
      </c>
      <c r="H1460" t="s">
        <v>5125</v>
      </c>
      <c r="I1460" t="s">
        <v>897</v>
      </c>
      <c r="J1460" t="s">
        <v>5104</v>
      </c>
      <c r="K1460" t="str">
        <f>"5202870800"</f>
        <v>5202870800</v>
      </c>
      <c r="L1460" t="str">
        <f>"7942"</f>
        <v>7942</v>
      </c>
      <c r="M1460" t="str">
        <f t="shared" ref="M1460:M1470" si="251">"5202876618"</f>
        <v>5202876618</v>
      </c>
      <c r="N1460" t="str">
        <f>""</f>
        <v/>
      </c>
      <c r="O1460" t="s">
        <v>5126</v>
      </c>
      <c r="P1460" t="s">
        <v>5127</v>
      </c>
      <c r="Q1460" t="s">
        <v>5128</v>
      </c>
      <c r="R1460" t="s">
        <v>5129</v>
      </c>
      <c r="S1460" t="s">
        <v>36</v>
      </c>
      <c r="T1460" t="str">
        <f t="shared" ref="T1460:T1470" si="252">"85621"</f>
        <v>85621</v>
      </c>
      <c r="U1460" t="str">
        <f>""</f>
        <v/>
      </c>
      <c r="V1460" t="s">
        <v>5127</v>
      </c>
      <c r="W1460" t="s">
        <v>5128</v>
      </c>
      <c r="X1460" t="s">
        <v>5129</v>
      </c>
      <c r="Y1460" t="s">
        <v>36</v>
      </c>
      <c r="Z1460" t="str">
        <f t="shared" ref="Z1460:Z1470" si="253">"85621"</f>
        <v>85621</v>
      </c>
      <c r="AA1460" t="str">
        <f>""</f>
        <v/>
      </c>
      <c r="AB1460" t="s">
        <v>516</v>
      </c>
    </row>
    <row r="1461" spans="1:28" x14ac:dyDescent="0.25">
      <c r="A1461">
        <v>4457</v>
      </c>
      <c r="B1461" t="str">
        <f t="shared" si="250"/>
        <v>120201000</v>
      </c>
      <c r="C1461" t="s">
        <v>5124</v>
      </c>
      <c r="D1461">
        <v>5954</v>
      </c>
      <c r="E1461" t="str">
        <f>"120201104"</f>
        <v>120201104</v>
      </c>
      <c r="F1461" t="s">
        <v>1627</v>
      </c>
      <c r="G1461" t="s">
        <v>42</v>
      </c>
      <c r="H1461" t="s">
        <v>1160</v>
      </c>
      <c r="I1461" t="s">
        <v>5130</v>
      </c>
      <c r="J1461" t="s">
        <v>5131</v>
      </c>
      <c r="K1461" t="str">
        <f>"5202870800"</f>
        <v>5202870800</v>
      </c>
      <c r="L1461" t="str">
        <f>"7947"</f>
        <v>7947</v>
      </c>
      <c r="M1461" t="str">
        <f t="shared" si="251"/>
        <v>5202876618</v>
      </c>
      <c r="N1461" t="str">
        <f>""</f>
        <v/>
      </c>
      <c r="O1461" t="s">
        <v>5132</v>
      </c>
      <c r="P1461" t="s">
        <v>5133</v>
      </c>
      <c r="Q1461" t="s">
        <v>5128</v>
      </c>
      <c r="R1461" t="s">
        <v>5129</v>
      </c>
      <c r="S1461" t="s">
        <v>36</v>
      </c>
      <c r="T1461" t="str">
        <f t="shared" si="252"/>
        <v>85621</v>
      </c>
      <c r="U1461" t="str">
        <f>""</f>
        <v/>
      </c>
      <c r="V1461" t="s">
        <v>5134</v>
      </c>
      <c r="X1461" t="s">
        <v>5129</v>
      </c>
      <c r="Y1461" t="s">
        <v>36</v>
      </c>
      <c r="Z1461" t="str">
        <f t="shared" si="253"/>
        <v>85621</v>
      </c>
      <c r="AA1461" t="str">
        <f>""</f>
        <v/>
      </c>
      <c r="AB1461" t="s">
        <v>516</v>
      </c>
    </row>
    <row r="1462" spans="1:28" x14ac:dyDescent="0.25">
      <c r="A1462">
        <v>4457</v>
      </c>
      <c r="B1462" t="str">
        <f t="shared" si="250"/>
        <v>120201000</v>
      </c>
      <c r="C1462" t="s">
        <v>5124</v>
      </c>
      <c r="D1462">
        <v>5955</v>
      </c>
      <c r="E1462" t="str">
        <f>"120201108"</f>
        <v>120201108</v>
      </c>
      <c r="F1462" t="s">
        <v>5135</v>
      </c>
      <c r="G1462" t="s">
        <v>42</v>
      </c>
      <c r="H1462" t="s">
        <v>5136</v>
      </c>
      <c r="I1462" t="s">
        <v>3152</v>
      </c>
      <c r="J1462" t="s">
        <v>5137</v>
      </c>
      <c r="K1462" t="str">
        <f>"5203772855"</f>
        <v>5203772855</v>
      </c>
      <c r="L1462" t="str">
        <f>""</f>
        <v/>
      </c>
      <c r="M1462" t="str">
        <f t="shared" si="251"/>
        <v>5202876618</v>
      </c>
      <c r="N1462" t="str">
        <f>""</f>
        <v/>
      </c>
      <c r="O1462" t="s">
        <v>5138</v>
      </c>
      <c r="P1462" t="s">
        <v>5127</v>
      </c>
      <c r="Q1462" t="s">
        <v>5128</v>
      </c>
      <c r="R1462" t="s">
        <v>5129</v>
      </c>
      <c r="S1462" t="s">
        <v>36</v>
      </c>
      <c r="T1462" t="str">
        <f t="shared" si="252"/>
        <v>85621</v>
      </c>
      <c r="U1462" t="str">
        <f>""</f>
        <v/>
      </c>
      <c r="V1462" t="s">
        <v>5139</v>
      </c>
      <c r="X1462" t="s">
        <v>5129</v>
      </c>
      <c r="Y1462" t="s">
        <v>36</v>
      </c>
      <c r="Z1462" t="str">
        <f t="shared" si="253"/>
        <v>85621</v>
      </c>
      <c r="AA1462" t="str">
        <f>""</f>
        <v/>
      </c>
      <c r="AB1462" t="s">
        <v>516</v>
      </c>
    </row>
    <row r="1463" spans="1:28" x14ac:dyDescent="0.25">
      <c r="A1463">
        <v>4457</v>
      </c>
      <c r="B1463" t="str">
        <f t="shared" si="250"/>
        <v>120201000</v>
      </c>
      <c r="C1463" t="s">
        <v>5124</v>
      </c>
      <c r="D1463">
        <v>5956</v>
      </c>
      <c r="E1463" t="str">
        <f>"120201111"</f>
        <v>120201111</v>
      </c>
      <c r="F1463" t="s">
        <v>5140</v>
      </c>
      <c r="G1463" t="s">
        <v>42</v>
      </c>
      <c r="H1463" t="s">
        <v>1160</v>
      </c>
      <c r="I1463" t="s">
        <v>5130</v>
      </c>
      <c r="J1463" t="s">
        <v>5141</v>
      </c>
      <c r="K1463" t="str">
        <f>"5202870800"</f>
        <v>5202870800</v>
      </c>
      <c r="L1463" t="str">
        <f>"7947"</f>
        <v>7947</v>
      </c>
      <c r="M1463" t="str">
        <f t="shared" si="251"/>
        <v>5202876618</v>
      </c>
      <c r="N1463" t="str">
        <f>""</f>
        <v/>
      </c>
      <c r="O1463" t="s">
        <v>5132</v>
      </c>
      <c r="P1463" t="s">
        <v>5127</v>
      </c>
      <c r="Q1463" t="s">
        <v>5128</v>
      </c>
      <c r="R1463" t="s">
        <v>5129</v>
      </c>
      <c r="S1463" t="s">
        <v>36</v>
      </c>
      <c r="T1463" t="str">
        <f t="shared" si="252"/>
        <v>85621</v>
      </c>
      <c r="U1463" t="str">
        <f>""</f>
        <v/>
      </c>
      <c r="V1463" t="s">
        <v>5142</v>
      </c>
      <c r="X1463" t="s">
        <v>5129</v>
      </c>
      <c r="Y1463" t="s">
        <v>36</v>
      </c>
      <c r="Z1463" t="str">
        <f t="shared" si="253"/>
        <v>85621</v>
      </c>
      <c r="AA1463" t="str">
        <f>""</f>
        <v/>
      </c>
      <c r="AB1463" t="s">
        <v>516</v>
      </c>
    </row>
    <row r="1464" spans="1:28" x14ac:dyDescent="0.25">
      <c r="A1464">
        <v>4457</v>
      </c>
      <c r="B1464" t="str">
        <f t="shared" si="250"/>
        <v>120201000</v>
      </c>
      <c r="C1464" t="s">
        <v>5124</v>
      </c>
      <c r="D1464">
        <v>5957</v>
      </c>
      <c r="E1464" t="str">
        <f>"120201113"</f>
        <v>120201113</v>
      </c>
      <c r="F1464" t="s">
        <v>999</v>
      </c>
      <c r="G1464" t="s">
        <v>42</v>
      </c>
      <c r="H1464" t="s">
        <v>5143</v>
      </c>
      <c r="I1464" t="s">
        <v>2088</v>
      </c>
      <c r="J1464" t="s">
        <v>5137</v>
      </c>
      <c r="K1464" t="str">
        <f>"5202870870"</f>
        <v>5202870870</v>
      </c>
      <c r="L1464" t="str">
        <f>""</f>
        <v/>
      </c>
      <c r="M1464" t="str">
        <f t="shared" si="251"/>
        <v>5202876618</v>
      </c>
      <c r="N1464" t="str">
        <f>""</f>
        <v/>
      </c>
      <c r="O1464" t="s">
        <v>5144</v>
      </c>
      <c r="P1464" t="s">
        <v>5127</v>
      </c>
      <c r="Q1464" t="s">
        <v>5128</v>
      </c>
      <c r="R1464" t="s">
        <v>5129</v>
      </c>
      <c r="S1464" t="s">
        <v>36</v>
      </c>
      <c r="T1464" t="str">
        <f t="shared" si="252"/>
        <v>85621</v>
      </c>
      <c r="U1464" t="str">
        <f>""</f>
        <v/>
      </c>
      <c r="V1464" t="s">
        <v>5145</v>
      </c>
      <c r="X1464" t="s">
        <v>5129</v>
      </c>
      <c r="Y1464" t="s">
        <v>36</v>
      </c>
      <c r="Z1464" t="str">
        <f t="shared" si="253"/>
        <v>85621</v>
      </c>
      <c r="AA1464" t="str">
        <f>""</f>
        <v/>
      </c>
      <c r="AB1464" t="s">
        <v>516</v>
      </c>
    </row>
    <row r="1465" spans="1:28" x14ac:dyDescent="0.25">
      <c r="A1465">
        <v>4457</v>
      </c>
      <c r="B1465" t="str">
        <f t="shared" si="250"/>
        <v>120201000</v>
      </c>
      <c r="C1465" t="s">
        <v>5124</v>
      </c>
      <c r="D1465">
        <v>5958</v>
      </c>
      <c r="E1465" t="str">
        <f>"120201114"</f>
        <v>120201114</v>
      </c>
      <c r="F1465" t="s">
        <v>5146</v>
      </c>
      <c r="G1465" t="s">
        <v>42</v>
      </c>
      <c r="H1465" t="s">
        <v>116</v>
      </c>
      <c r="I1465" t="s">
        <v>771</v>
      </c>
      <c r="J1465" t="s">
        <v>5137</v>
      </c>
      <c r="K1465" t="str">
        <f>"5202870840"</f>
        <v>5202870840</v>
      </c>
      <c r="L1465" t="str">
        <f>""</f>
        <v/>
      </c>
      <c r="M1465" t="str">
        <f t="shared" si="251"/>
        <v>5202876618</v>
      </c>
      <c r="N1465" t="str">
        <f>""</f>
        <v/>
      </c>
      <c r="O1465" t="s">
        <v>5147</v>
      </c>
      <c r="P1465" t="s">
        <v>5148</v>
      </c>
      <c r="Q1465" t="s">
        <v>5128</v>
      </c>
      <c r="R1465" t="s">
        <v>5129</v>
      </c>
      <c r="S1465" t="s">
        <v>36</v>
      </c>
      <c r="T1465" t="str">
        <f t="shared" si="252"/>
        <v>85621</v>
      </c>
      <c r="U1465" t="str">
        <f>""</f>
        <v/>
      </c>
      <c r="V1465" t="s">
        <v>5149</v>
      </c>
      <c r="X1465" t="s">
        <v>5129</v>
      </c>
      <c r="Y1465" t="s">
        <v>36</v>
      </c>
      <c r="Z1465" t="str">
        <f t="shared" si="253"/>
        <v>85621</v>
      </c>
      <c r="AA1465" t="str">
        <f>""</f>
        <v/>
      </c>
      <c r="AB1465" t="s">
        <v>516</v>
      </c>
    </row>
    <row r="1466" spans="1:28" x14ac:dyDescent="0.25">
      <c r="A1466">
        <v>4457</v>
      </c>
      <c r="B1466" t="str">
        <f t="shared" si="250"/>
        <v>120201000</v>
      </c>
      <c r="C1466" t="s">
        <v>5124</v>
      </c>
      <c r="D1466">
        <v>5959</v>
      </c>
      <c r="E1466" t="str">
        <f>"120201115"</f>
        <v>120201115</v>
      </c>
      <c r="F1466" t="s">
        <v>5150</v>
      </c>
      <c r="G1466" t="s">
        <v>42</v>
      </c>
      <c r="H1466" t="s">
        <v>5098</v>
      </c>
      <c r="I1466" t="s">
        <v>5151</v>
      </c>
      <c r="J1466" t="s">
        <v>5137</v>
      </c>
      <c r="K1466" t="str">
        <f>"5202870880"</f>
        <v>5202870880</v>
      </c>
      <c r="L1466" t="str">
        <f>""</f>
        <v/>
      </c>
      <c r="M1466" t="str">
        <f t="shared" si="251"/>
        <v>5202876618</v>
      </c>
      <c r="N1466" t="str">
        <f>""</f>
        <v/>
      </c>
      <c r="O1466" t="s">
        <v>5152</v>
      </c>
      <c r="P1466" t="s">
        <v>5127</v>
      </c>
      <c r="Q1466" t="s">
        <v>5128</v>
      </c>
      <c r="R1466" t="s">
        <v>5129</v>
      </c>
      <c r="S1466" t="s">
        <v>36</v>
      </c>
      <c r="T1466" t="str">
        <f t="shared" si="252"/>
        <v>85621</v>
      </c>
      <c r="U1466" t="str">
        <f>""</f>
        <v/>
      </c>
      <c r="V1466" t="s">
        <v>5153</v>
      </c>
      <c r="X1466" t="s">
        <v>5129</v>
      </c>
      <c r="Y1466" t="s">
        <v>36</v>
      </c>
      <c r="Z1466" t="str">
        <f t="shared" si="253"/>
        <v>85621</v>
      </c>
      <c r="AA1466" t="str">
        <f>""</f>
        <v/>
      </c>
      <c r="AB1466" t="s">
        <v>516</v>
      </c>
    </row>
    <row r="1467" spans="1:28" x14ac:dyDescent="0.25">
      <c r="A1467">
        <v>4457</v>
      </c>
      <c r="B1467" t="str">
        <f t="shared" si="250"/>
        <v>120201000</v>
      </c>
      <c r="C1467" t="s">
        <v>5124</v>
      </c>
      <c r="D1467">
        <v>5960</v>
      </c>
      <c r="E1467" t="str">
        <f>"120201119"</f>
        <v>120201119</v>
      </c>
      <c r="F1467" t="s">
        <v>5154</v>
      </c>
      <c r="G1467" t="s">
        <v>42</v>
      </c>
      <c r="H1467" t="s">
        <v>1949</v>
      </c>
      <c r="I1467" t="s">
        <v>5155</v>
      </c>
      <c r="J1467" t="s">
        <v>5137</v>
      </c>
      <c r="K1467" t="str">
        <f>"5203770544"</f>
        <v>5203770544</v>
      </c>
      <c r="L1467" t="str">
        <f>""</f>
        <v/>
      </c>
      <c r="M1467" t="str">
        <f t="shared" si="251"/>
        <v>5202876618</v>
      </c>
      <c r="N1467" t="str">
        <f>""</f>
        <v/>
      </c>
      <c r="O1467" t="s">
        <v>5156</v>
      </c>
      <c r="P1467" t="s">
        <v>5127</v>
      </c>
      <c r="Q1467" t="s">
        <v>5128</v>
      </c>
      <c r="R1467" t="s">
        <v>5129</v>
      </c>
      <c r="S1467" t="s">
        <v>36</v>
      </c>
      <c r="T1467" t="str">
        <f t="shared" si="252"/>
        <v>85621</v>
      </c>
      <c r="U1467" t="str">
        <f>""</f>
        <v/>
      </c>
      <c r="V1467" t="s">
        <v>5157</v>
      </c>
      <c r="X1467" t="s">
        <v>5129</v>
      </c>
      <c r="Y1467" t="s">
        <v>36</v>
      </c>
      <c r="Z1467" t="str">
        <f t="shared" si="253"/>
        <v>85621</v>
      </c>
      <c r="AA1467" t="str">
        <f>""</f>
        <v/>
      </c>
      <c r="AB1467" t="s">
        <v>516</v>
      </c>
    </row>
    <row r="1468" spans="1:28" x14ac:dyDescent="0.25">
      <c r="A1468">
        <v>4457</v>
      </c>
      <c r="B1468" t="str">
        <f t="shared" si="250"/>
        <v>120201000</v>
      </c>
      <c r="C1468" t="s">
        <v>5124</v>
      </c>
      <c r="D1468">
        <v>5961</v>
      </c>
      <c r="E1468" t="str">
        <f>"120201209"</f>
        <v>120201209</v>
      </c>
      <c r="F1468" t="s">
        <v>5158</v>
      </c>
      <c r="G1468" t="s">
        <v>42</v>
      </c>
      <c r="H1468" t="s">
        <v>1160</v>
      </c>
      <c r="I1468" t="s">
        <v>5130</v>
      </c>
      <c r="J1468" t="s">
        <v>5159</v>
      </c>
      <c r="K1468" t="str">
        <f>"5202870800"</f>
        <v>5202870800</v>
      </c>
      <c r="L1468" t="str">
        <f>"7947"</f>
        <v>7947</v>
      </c>
      <c r="M1468" t="str">
        <f t="shared" si="251"/>
        <v>5202876618</v>
      </c>
      <c r="N1468" t="str">
        <f>""</f>
        <v/>
      </c>
      <c r="O1468" t="s">
        <v>5132</v>
      </c>
      <c r="P1468" t="s">
        <v>5127</v>
      </c>
      <c r="Q1468" t="s">
        <v>5128</v>
      </c>
      <c r="R1468" t="s">
        <v>5129</v>
      </c>
      <c r="S1468" t="s">
        <v>36</v>
      </c>
      <c r="T1468" t="str">
        <f t="shared" si="252"/>
        <v>85621</v>
      </c>
      <c r="U1468" t="str">
        <f>""</f>
        <v/>
      </c>
      <c r="V1468" t="s">
        <v>5160</v>
      </c>
      <c r="X1468" t="s">
        <v>5129</v>
      </c>
      <c r="Y1468" t="s">
        <v>36</v>
      </c>
      <c r="Z1468" t="str">
        <f t="shared" si="253"/>
        <v>85621</v>
      </c>
      <c r="AA1468" t="str">
        <f>""</f>
        <v/>
      </c>
      <c r="AB1468" t="s">
        <v>516</v>
      </c>
    </row>
    <row r="1469" spans="1:28" x14ac:dyDescent="0.25">
      <c r="A1469">
        <v>4457</v>
      </c>
      <c r="B1469" t="str">
        <f t="shared" si="250"/>
        <v>120201000</v>
      </c>
      <c r="C1469" t="s">
        <v>5124</v>
      </c>
      <c r="D1469">
        <v>5962</v>
      </c>
      <c r="E1469" t="str">
        <f>"120201210"</f>
        <v>120201210</v>
      </c>
      <c r="F1469" t="s">
        <v>5161</v>
      </c>
      <c r="G1469" t="s">
        <v>42</v>
      </c>
      <c r="H1469" t="s">
        <v>1160</v>
      </c>
      <c r="I1469" t="s">
        <v>5130</v>
      </c>
      <c r="J1469" t="s">
        <v>5159</v>
      </c>
      <c r="K1469" t="str">
        <f>"5202870800"</f>
        <v>5202870800</v>
      </c>
      <c r="L1469" t="str">
        <f>"7947"</f>
        <v>7947</v>
      </c>
      <c r="M1469" t="str">
        <f t="shared" si="251"/>
        <v>5202876618</v>
      </c>
      <c r="N1469" t="str">
        <f>""</f>
        <v/>
      </c>
      <c r="O1469" t="s">
        <v>5132</v>
      </c>
      <c r="P1469" t="s">
        <v>5127</v>
      </c>
      <c r="Q1469" t="s">
        <v>5128</v>
      </c>
      <c r="R1469" t="s">
        <v>5129</v>
      </c>
      <c r="S1469" t="s">
        <v>36</v>
      </c>
      <c r="T1469" t="str">
        <f t="shared" si="252"/>
        <v>85621</v>
      </c>
      <c r="U1469" t="str">
        <f>""</f>
        <v/>
      </c>
      <c r="V1469" t="s">
        <v>5162</v>
      </c>
      <c r="X1469" t="s">
        <v>5129</v>
      </c>
      <c r="Y1469" t="s">
        <v>36</v>
      </c>
      <c r="Z1469" t="str">
        <f t="shared" si="253"/>
        <v>85621</v>
      </c>
      <c r="AA1469" t="str">
        <f>""</f>
        <v/>
      </c>
      <c r="AB1469" t="s">
        <v>516</v>
      </c>
    </row>
    <row r="1470" spans="1:28" x14ac:dyDescent="0.25">
      <c r="A1470">
        <v>4457</v>
      </c>
      <c r="B1470" t="str">
        <f t="shared" si="250"/>
        <v>120201000</v>
      </c>
      <c r="C1470" t="s">
        <v>5124</v>
      </c>
      <c r="D1470">
        <v>6071</v>
      </c>
      <c r="E1470" t="str">
        <f>"120201103"</f>
        <v>120201103</v>
      </c>
      <c r="F1470" t="s">
        <v>5163</v>
      </c>
      <c r="G1470" t="s">
        <v>42</v>
      </c>
      <c r="H1470" t="s">
        <v>5164</v>
      </c>
      <c r="I1470" t="s">
        <v>5165</v>
      </c>
      <c r="J1470" t="s">
        <v>5137</v>
      </c>
      <c r="K1470" t="str">
        <f>"5202872886"</f>
        <v>5202872886</v>
      </c>
      <c r="L1470" t="str">
        <f>""</f>
        <v/>
      </c>
      <c r="M1470" t="str">
        <f t="shared" si="251"/>
        <v>5202876618</v>
      </c>
      <c r="N1470" t="str">
        <f>""</f>
        <v/>
      </c>
      <c r="O1470" t="s">
        <v>5166</v>
      </c>
      <c r="P1470" t="s">
        <v>5127</v>
      </c>
      <c r="Q1470" t="s">
        <v>5128</v>
      </c>
      <c r="R1470" t="s">
        <v>5129</v>
      </c>
      <c r="S1470" t="s">
        <v>36</v>
      </c>
      <c r="T1470" t="str">
        <f t="shared" si="252"/>
        <v>85621</v>
      </c>
      <c r="U1470" t="str">
        <f>""</f>
        <v/>
      </c>
      <c r="V1470" t="s">
        <v>5167</v>
      </c>
      <c r="X1470" t="s">
        <v>5129</v>
      </c>
      <c r="Y1470" t="s">
        <v>36</v>
      </c>
      <c r="Z1470" t="str">
        <f t="shared" si="253"/>
        <v>85621</v>
      </c>
      <c r="AA1470" t="str">
        <f>""</f>
        <v/>
      </c>
      <c r="AB1470" t="s">
        <v>516</v>
      </c>
    </row>
    <row r="1471" spans="1:28" x14ac:dyDescent="0.25">
      <c r="A1471">
        <v>4458</v>
      </c>
      <c r="B1471" t="str">
        <f t="shared" ref="B1471:B1476" si="254">"120235000"</f>
        <v>120235000</v>
      </c>
      <c r="C1471" t="s">
        <v>5168</v>
      </c>
      <c r="D1471">
        <v>0</v>
      </c>
      <c r="E1471" t="str">
        <f>""</f>
        <v/>
      </c>
      <c r="G1471" t="s">
        <v>29</v>
      </c>
      <c r="H1471" t="s">
        <v>5169</v>
      </c>
      <c r="I1471" t="s">
        <v>417</v>
      </c>
      <c r="J1471" t="s">
        <v>134</v>
      </c>
      <c r="K1471" t="str">
        <f t="shared" ref="K1471:K1476" si="255">"5202818282"</f>
        <v>5202818282</v>
      </c>
      <c r="L1471" t="str">
        <f>"8263"</f>
        <v>8263</v>
      </c>
      <c r="M1471" t="str">
        <f>"5202817093"</f>
        <v>5202817093</v>
      </c>
      <c r="N1471" t="str">
        <f>""</f>
        <v/>
      </c>
      <c r="O1471" t="s">
        <v>5170</v>
      </c>
      <c r="P1471" t="s">
        <v>5171</v>
      </c>
      <c r="R1471" t="s">
        <v>5172</v>
      </c>
      <c r="S1471" t="s">
        <v>36</v>
      </c>
      <c r="T1471" t="str">
        <f t="shared" ref="T1471:T1476" si="256">"85648"</f>
        <v>85648</v>
      </c>
      <c r="U1471" t="str">
        <f>""</f>
        <v/>
      </c>
      <c r="V1471" t="s">
        <v>5173</v>
      </c>
      <c r="X1471" t="s">
        <v>5172</v>
      </c>
      <c r="Y1471" t="s">
        <v>36</v>
      </c>
      <c r="Z1471" t="str">
        <f t="shared" ref="Z1471:Z1476" si="257">"85648"</f>
        <v>85648</v>
      </c>
      <c r="AA1471" t="str">
        <f>""</f>
        <v/>
      </c>
      <c r="AB1471" t="s">
        <v>516</v>
      </c>
    </row>
    <row r="1472" spans="1:28" x14ac:dyDescent="0.25">
      <c r="A1472">
        <v>4458</v>
      </c>
      <c r="B1472" t="str">
        <f t="shared" si="254"/>
        <v>120235000</v>
      </c>
      <c r="C1472" t="s">
        <v>5168</v>
      </c>
      <c r="D1472">
        <v>5963</v>
      </c>
      <c r="E1472" t="str">
        <f>"120235110"</f>
        <v>120235110</v>
      </c>
      <c r="F1472" t="s">
        <v>5174</v>
      </c>
      <c r="G1472" t="s">
        <v>42</v>
      </c>
      <c r="H1472" t="s">
        <v>5175</v>
      </c>
      <c r="I1472" t="s">
        <v>2943</v>
      </c>
      <c r="J1472" t="s">
        <v>32</v>
      </c>
      <c r="K1472" t="str">
        <f t="shared" si="255"/>
        <v>5202818282</v>
      </c>
      <c r="L1472" t="str">
        <f>"8277"</f>
        <v>8277</v>
      </c>
      <c r="M1472" t="str">
        <f>"5203778186"</f>
        <v>5203778186</v>
      </c>
      <c r="N1472" t="str">
        <f>""</f>
        <v/>
      </c>
      <c r="O1472" t="s">
        <v>5176</v>
      </c>
      <c r="P1472" t="s">
        <v>5171</v>
      </c>
      <c r="R1472" t="s">
        <v>5172</v>
      </c>
      <c r="S1472" t="s">
        <v>36</v>
      </c>
      <c r="T1472" t="str">
        <f t="shared" si="256"/>
        <v>85648</v>
      </c>
      <c r="U1472" t="str">
        <f>""</f>
        <v/>
      </c>
      <c r="V1472" t="s">
        <v>5177</v>
      </c>
      <c r="X1472" t="s">
        <v>5172</v>
      </c>
      <c r="Y1472" t="s">
        <v>36</v>
      </c>
      <c r="Z1472" t="str">
        <f t="shared" si="257"/>
        <v>85648</v>
      </c>
      <c r="AA1472" t="str">
        <f>""</f>
        <v/>
      </c>
      <c r="AB1472" t="s">
        <v>516</v>
      </c>
    </row>
    <row r="1473" spans="1:28" x14ac:dyDescent="0.25">
      <c r="A1473">
        <v>4458</v>
      </c>
      <c r="B1473" t="str">
        <f t="shared" si="254"/>
        <v>120235000</v>
      </c>
      <c r="C1473" t="s">
        <v>5168</v>
      </c>
      <c r="D1473">
        <v>5964</v>
      </c>
      <c r="E1473" t="str">
        <f>"120235120"</f>
        <v>120235120</v>
      </c>
      <c r="F1473" t="s">
        <v>5178</v>
      </c>
      <c r="G1473" t="s">
        <v>42</v>
      </c>
      <c r="H1473" t="s">
        <v>5175</v>
      </c>
      <c r="I1473" t="s">
        <v>2943</v>
      </c>
      <c r="J1473" t="s">
        <v>32</v>
      </c>
      <c r="K1473" t="str">
        <f t="shared" si="255"/>
        <v>5202818282</v>
      </c>
      <c r="L1473" t="str">
        <f>"8277"</f>
        <v>8277</v>
      </c>
      <c r="M1473" t="str">
        <f>"5203778186"</f>
        <v>5203778186</v>
      </c>
      <c r="N1473" t="str">
        <f>""</f>
        <v/>
      </c>
      <c r="O1473" t="s">
        <v>5176</v>
      </c>
      <c r="P1473" t="s">
        <v>5179</v>
      </c>
      <c r="R1473" t="s">
        <v>5172</v>
      </c>
      <c r="S1473" t="s">
        <v>36</v>
      </c>
      <c r="T1473" t="str">
        <f t="shared" si="256"/>
        <v>85648</v>
      </c>
      <c r="U1473" t="str">
        <f>""</f>
        <v/>
      </c>
      <c r="V1473" t="s">
        <v>5180</v>
      </c>
      <c r="X1473" t="s">
        <v>5172</v>
      </c>
      <c r="Y1473" t="s">
        <v>36</v>
      </c>
      <c r="Z1473" t="str">
        <f t="shared" si="257"/>
        <v>85648</v>
      </c>
      <c r="AA1473" t="str">
        <f>""</f>
        <v/>
      </c>
      <c r="AB1473" t="s">
        <v>516</v>
      </c>
    </row>
    <row r="1474" spans="1:28" x14ac:dyDescent="0.25">
      <c r="A1474">
        <v>4458</v>
      </c>
      <c r="B1474" t="str">
        <f t="shared" si="254"/>
        <v>120235000</v>
      </c>
      <c r="C1474" t="s">
        <v>5168</v>
      </c>
      <c r="D1474">
        <v>5965</v>
      </c>
      <c r="E1474" t="str">
        <f>"120235130"</f>
        <v>120235130</v>
      </c>
      <c r="F1474" t="s">
        <v>5181</v>
      </c>
      <c r="G1474" t="s">
        <v>42</v>
      </c>
      <c r="H1474" t="s">
        <v>5175</v>
      </c>
      <c r="I1474" t="s">
        <v>2943</v>
      </c>
      <c r="J1474" t="s">
        <v>32</v>
      </c>
      <c r="K1474" t="str">
        <f t="shared" si="255"/>
        <v>5202818282</v>
      </c>
      <c r="L1474" t="str">
        <f>"8277"</f>
        <v>8277</v>
      </c>
      <c r="M1474" t="str">
        <f>"5203778186"</f>
        <v>5203778186</v>
      </c>
      <c r="N1474" t="str">
        <f>""</f>
        <v/>
      </c>
      <c r="O1474" t="s">
        <v>5176</v>
      </c>
      <c r="P1474" t="s">
        <v>5171</v>
      </c>
      <c r="R1474" t="s">
        <v>5172</v>
      </c>
      <c r="S1474" t="s">
        <v>36</v>
      </c>
      <c r="T1474" t="str">
        <f t="shared" si="256"/>
        <v>85648</v>
      </c>
      <c r="U1474" t="str">
        <f>""</f>
        <v/>
      </c>
      <c r="V1474" t="s">
        <v>5182</v>
      </c>
      <c r="X1474" t="s">
        <v>5172</v>
      </c>
      <c r="Y1474" t="s">
        <v>36</v>
      </c>
      <c r="Z1474" t="str">
        <f t="shared" si="257"/>
        <v>85648</v>
      </c>
      <c r="AA1474" t="str">
        <f>""</f>
        <v/>
      </c>
      <c r="AB1474" t="s">
        <v>516</v>
      </c>
    </row>
    <row r="1475" spans="1:28" x14ac:dyDescent="0.25">
      <c r="A1475">
        <v>4458</v>
      </c>
      <c r="B1475" t="str">
        <f t="shared" si="254"/>
        <v>120235000</v>
      </c>
      <c r="C1475" t="s">
        <v>5168</v>
      </c>
      <c r="D1475">
        <v>5966</v>
      </c>
      <c r="E1475" t="str">
        <f>"120235200"</f>
        <v>120235200</v>
      </c>
      <c r="F1475" t="s">
        <v>5183</v>
      </c>
      <c r="G1475" t="s">
        <v>42</v>
      </c>
      <c r="H1475" t="s">
        <v>5175</v>
      </c>
      <c r="I1475" t="s">
        <v>2943</v>
      </c>
      <c r="J1475" t="s">
        <v>32</v>
      </c>
      <c r="K1475" t="str">
        <f t="shared" si="255"/>
        <v>5202818282</v>
      </c>
      <c r="L1475" t="str">
        <f>"8277"</f>
        <v>8277</v>
      </c>
      <c r="M1475" t="str">
        <f>"5203778186"</f>
        <v>5203778186</v>
      </c>
      <c r="N1475" t="str">
        <f>""</f>
        <v/>
      </c>
      <c r="O1475" t="s">
        <v>5176</v>
      </c>
      <c r="P1475" t="s">
        <v>5184</v>
      </c>
      <c r="R1475" t="s">
        <v>5172</v>
      </c>
      <c r="S1475" t="s">
        <v>36</v>
      </c>
      <c r="T1475" t="str">
        <f t="shared" si="256"/>
        <v>85648</v>
      </c>
      <c r="U1475" t="str">
        <f>""</f>
        <v/>
      </c>
      <c r="V1475" t="s">
        <v>5185</v>
      </c>
      <c r="X1475" t="s">
        <v>5172</v>
      </c>
      <c r="Y1475" t="s">
        <v>36</v>
      </c>
      <c r="Z1475" t="str">
        <f t="shared" si="257"/>
        <v>85648</v>
      </c>
      <c r="AA1475" t="str">
        <f>""</f>
        <v/>
      </c>
      <c r="AB1475" t="s">
        <v>516</v>
      </c>
    </row>
    <row r="1476" spans="1:28" x14ac:dyDescent="0.25">
      <c r="A1476">
        <v>4458</v>
      </c>
      <c r="B1476" t="str">
        <f t="shared" si="254"/>
        <v>120235000</v>
      </c>
      <c r="C1476" t="s">
        <v>5168</v>
      </c>
      <c r="D1476">
        <v>89775</v>
      </c>
      <c r="E1476" t="str">
        <f>"120235140"</f>
        <v>120235140</v>
      </c>
      <c r="F1476" t="s">
        <v>5186</v>
      </c>
      <c r="G1476" t="s">
        <v>42</v>
      </c>
      <c r="H1476" t="s">
        <v>5175</v>
      </c>
      <c r="I1476" t="s">
        <v>2943</v>
      </c>
      <c r="J1476" t="s">
        <v>32</v>
      </c>
      <c r="K1476" t="str">
        <f t="shared" si="255"/>
        <v>5202818282</v>
      </c>
      <c r="L1476" t="str">
        <f>"8277"</f>
        <v>8277</v>
      </c>
      <c r="M1476" t="str">
        <f>"5203778186"</f>
        <v>5203778186</v>
      </c>
      <c r="N1476" t="str">
        <f>""</f>
        <v/>
      </c>
      <c r="O1476" t="s">
        <v>5176</v>
      </c>
      <c r="P1476" t="s">
        <v>5171</v>
      </c>
      <c r="R1476" t="s">
        <v>5172</v>
      </c>
      <c r="S1476" t="s">
        <v>36</v>
      </c>
      <c r="T1476" t="str">
        <f t="shared" si="256"/>
        <v>85648</v>
      </c>
      <c r="U1476" t="str">
        <f>""</f>
        <v/>
      </c>
      <c r="V1476" t="s">
        <v>5187</v>
      </c>
      <c r="X1476" t="s">
        <v>5172</v>
      </c>
      <c r="Y1476" t="s">
        <v>36</v>
      </c>
      <c r="Z1476" t="str">
        <f t="shared" si="257"/>
        <v>85648</v>
      </c>
      <c r="AA1476" t="str">
        <f>""</f>
        <v/>
      </c>
      <c r="AB1476" t="s">
        <v>516</v>
      </c>
    </row>
    <row r="1477" spans="1:28" x14ac:dyDescent="0.25">
      <c r="A1477">
        <v>4459</v>
      </c>
      <c r="B1477" t="str">
        <f>"120328000"</f>
        <v>120328000</v>
      </c>
      <c r="C1477" t="s">
        <v>5188</v>
      </c>
      <c r="D1477">
        <v>0</v>
      </c>
      <c r="E1477" t="str">
        <f>""</f>
        <v/>
      </c>
      <c r="G1477" t="s">
        <v>29</v>
      </c>
      <c r="H1477" t="s">
        <v>1857</v>
      </c>
      <c r="I1477" t="s">
        <v>5189</v>
      </c>
      <c r="J1477" t="s">
        <v>493</v>
      </c>
      <c r="K1477" t="str">
        <f>"5202870737"</f>
        <v>5202870737</v>
      </c>
      <c r="L1477" t="str">
        <f>""</f>
        <v/>
      </c>
      <c r="M1477" t="str">
        <f>"5202876791"</f>
        <v>5202876791</v>
      </c>
      <c r="N1477" t="str">
        <f>""</f>
        <v/>
      </c>
      <c r="O1477" t="s">
        <v>5190</v>
      </c>
      <c r="P1477" t="s">
        <v>5191</v>
      </c>
      <c r="R1477" t="s">
        <v>5129</v>
      </c>
      <c r="S1477" t="s">
        <v>36</v>
      </c>
      <c r="T1477" t="str">
        <f>"85621"</f>
        <v>85621</v>
      </c>
      <c r="U1477" t="str">
        <f>""</f>
        <v/>
      </c>
      <c r="V1477" t="s">
        <v>5192</v>
      </c>
      <c r="X1477" t="s">
        <v>5129</v>
      </c>
      <c r="Y1477" t="s">
        <v>36</v>
      </c>
      <c r="Z1477" t="str">
        <f>"85621"</f>
        <v>85621</v>
      </c>
      <c r="AA1477" t="str">
        <f>""</f>
        <v/>
      </c>
      <c r="AB1477" t="s">
        <v>156</v>
      </c>
    </row>
    <row r="1478" spans="1:28" x14ac:dyDescent="0.25">
      <c r="A1478">
        <v>4459</v>
      </c>
      <c r="B1478" t="str">
        <f>"120328000"</f>
        <v>120328000</v>
      </c>
      <c r="C1478" t="s">
        <v>5188</v>
      </c>
      <c r="D1478">
        <v>5967</v>
      </c>
      <c r="E1478" t="str">
        <f>"120328101"</f>
        <v>120328101</v>
      </c>
      <c r="F1478" t="s">
        <v>5193</v>
      </c>
      <c r="G1478" t="s">
        <v>42</v>
      </c>
      <c r="H1478" t="s">
        <v>5189</v>
      </c>
      <c r="I1478" t="s">
        <v>1857</v>
      </c>
      <c r="J1478" t="s">
        <v>493</v>
      </c>
      <c r="K1478" t="str">
        <f>"5202870737"</f>
        <v>5202870737</v>
      </c>
      <c r="L1478" t="str">
        <f>""</f>
        <v/>
      </c>
      <c r="M1478" t="str">
        <f>"5202876791"</f>
        <v>5202876791</v>
      </c>
      <c r="N1478" t="str">
        <f>""</f>
        <v/>
      </c>
      <c r="O1478" t="s">
        <v>5190</v>
      </c>
      <c r="P1478" t="s">
        <v>5191</v>
      </c>
      <c r="R1478" t="s">
        <v>5129</v>
      </c>
      <c r="S1478" t="s">
        <v>36</v>
      </c>
      <c r="T1478" t="str">
        <f>"85621"</f>
        <v>85621</v>
      </c>
      <c r="U1478" t="str">
        <f>""</f>
        <v/>
      </c>
      <c r="V1478" t="s">
        <v>5192</v>
      </c>
      <c r="X1478" t="s">
        <v>5129</v>
      </c>
      <c r="Y1478" t="s">
        <v>36</v>
      </c>
      <c r="Z1478" t="str">
        <f>"85621"</f>
        <v>85621</v>
      </c>
      <c r="AA1478" t="str">
        <f>""</f>
        <v/>
      </c>
      <c r="AB1478" t="s">
        <v>156</v>
      </c>
    </row>
    <row r="1479" spans="1:28" x14ac:dyDescent="0.25">
      <c r="A1479">
        <v>4461</v>
      </c>
      <c r="B1479" t="str">
        <f>"120425000"</f>
        <v>120425000</v>
      </c>
      <c r="C1479" t="s">
        <v>5194</v>
      </c>
      <c r="D1479">
        <v>0</v>
      </c>
      <c r="E1479" t="str">
        <f>""</f>
        <v/>
      </c>
      <c r="G1479" t="s">
        <v>29</v>
      </c>
      <c r="H1479" t="s">
        <v>4851</v>
      </c>
      <c r="I1479" t="s">
        <v>5195</v>
      </c>
      <c r="J1479" t="s">
        <v>307</v>
      </c>
      <c r="K1479" t="str">
        <f>"5204555514"</f>
        <v>5204555514</v>
      </c>
      <c r="L1479" t="str">
        <f>"300"</f>
        <v>300</v>
      </c>
      <c r="M1479" t="str">
        <f>"5204555516"</f>
        <v>5204555516</v>
      </c>
      <c r="N1479" t="str">
        <f>""</f>
        <v/>
      </c>
      <c r="O1479" t="s">
        <v>5196</v>
      </c>
      <c r="P1479" t="s">
        <v>5197</v>
      </c>
      <c r="R1479" t="s">
        <v>5198</v>
      </c>
      <c r="S1479" t="s">
        <v>36</v>
      </c>
      <c r="T1479" t="str">
        <f>"85611"</f>
        <v>85611</v>
      </c>
      <c r="U1479" t="str">
        <f>""</f>
        <v/>
      </c>
      <c r="V1479" t="s">
        <v>5197</v>
      </c>
      <c r="X1479" t="s">
        <v>5198</v>
      </c>
      <c r="Y1479" t="s">
        <v>36</v>
      </c>
      <c r="Z1479" t="str">
        <f>"85611"</f>
        <v>85611</v>
      </c>
      <c r="AA1479" t="str">
        <f>""</f>
        <v/>
      </c>
      <c r="AB1479" t="s">
        <v>508</v>
      </c>
    </row>
    <row r="1480" spans="1:28" x14ac:dyDescent="0.25">
      <c r="A1480">
        <v>4461</v>
      </c>
      <c r="B1480" t="str">
        <f>"120425000"</f>
        <v>120425000</v>
      </c>
      <c r="C1480" t="s">
        <v>5194</v>
      </c>
      <c r="D1480">
        <v>5970</v>
      </c>
      <c r="E1480" t="str">
        <f>"120425101"</f>
        <v>120425101</v>
      </c>
      <c r="F1480" t="s">
        <v>5199</v>
      </c>
      <c r="G1480" t="s">
        <v>42</v>
      </c>
      <c r="H1480" t="s">
        <v>4851</v>
      </c>
      <c r="I1480" t="s">
        <v>5195</v>
      </c>
      <c r="J1480" t="s">
        <v>307</v>
      </c>
      <c r="K1480" t="str">
        <f>"5204555514"</f>
        <v>5204555514</v>
      </c>
      <c r="L1480" t="str">
        <f>"300"</f>
        <v>300</v>
      </c>
      <c r="M1480" t="str">
        <f>"5204555516"</f>
        <v>5204555516</v>
      </c>
      <c r="N1480" t="str">
        <f>""</f>
        <v/>
      </c>
      <c r="O1480" t="s">
        <v>5196</v>
      </c>
      <c r="P1480" t="s">
        <v>5197</v>
      </c>
      <c r="R1480" t="s">
        <v>5198</v>
      </c>
      <c r="S1480" t="s">
        <v>36</v>
      </c>
      <c r="T1480" t="str">
        <f>"85611"</f>
        <v>85611</v>
      </c>
      <c r="U1480" t="str">
        <f>""</f>
        <v/>
      </c>
      <c r="V1480" t="s">
        <v>5197</v>
      </c>
      <c r="X1480" t="s">
        <v>5198</v>
      </c>
      <c r="Y1480" t="s">
        <v>36</v>
      </c>
      <c r="Z1480" t="str">
        <f>"85611"</f>
        <v>85611</v>
      </c>
      <c r="AA1480" t="str">
        <f>""</f>
        <v/>
      </c>
      <c r="AB1480" t="s">
        <v>508</v>
      </c>
    </row>
    <row r="1481" spans="1:28" x14ac:dyDescent="0.25">
      <c r="A1481">
        <v>4462</v>
      </c>
      <c r="B1481" t="str">
        <f>"120520000"</f>
        <v>120520000</v>
      </c>
      <c r="C1481" t="s">
        <v>5200</v>
      </c>
      <c r="D1481">
        <v>0</v>
      </c>
      <c r="E1481" t="str">
        <f>""</f>
        <v/>
      </c>
      <c r="G1481" t="s">
        <v>29</v>
      </c>
      <c r="H1481" t="s">
        <v>5201</v>
      </c>
      <c r="I1481" t="s">
        <v>5202</v>
      </c>
      <c r="J1481" t="s">
        <v>195</v>
      </c>
      <c r="K1481" t="str">
        <f>"5203943012"</f>
        <v>5203943012</v>
      </c>
      <c r="L1481" t="str">
        <f>""</f>
        <v/>
      </c>
      <c r="M1481" t="str">
        <f>"5203943051"</f>
        <v>5203943051</v>
      </c>
      <c r="N1481" t="str">
        <f>""</f>
        <v/>
      </c>
      <c r="O1481" t="s">
        <v>5203</v>
      </c>
      <c r="P1481" t="s">
        <v>5204</v>
      </c>
      <c r="R1481" t="s">
        <v>5205</v>
      </c>
      <c r="S1481" t="s">
        <v>36</v>
      </c>
      <c r="T1481" t="str">
        <f>"85624"</f>
        <v>85624</v>
      </c>
      <c r="U1481" t="str">
        <f>""</f>
        <v/>
      </c>
      <c r="V1481" t="s">
        <v>5206</v>
      </c>
      <c r="X1481" t="s">
        <v>5205</v>
      </c>
      <c r="Y1481" t="s">
        <v>36</v>
      </c>
      <c r="Z1481" t="str">
        <f>"85624"</f>
        <v>85624</v>
      </c>
      <c r="AA1481" t="str">
        <f>""</f>
        <v/>
      </c>
      <c r="AB1481" t="s">
        <v>265</v>
      </c>
    </row>
    <row r="1482" spans="1:28" x14ac:dyDescent="0.25">
      <c r="A1482">
        <v>4462</v>
      </c>
      <c r="B1482" t="str">
        <f>"120520000"</f>
        <v>120520000</v>
      </c>
      <c r="C1482" t="s">
        <v>5200</v>
      </c>
      <c r="D1482">
        <v>5968</v>
      </c>
      <c r="E1482" t="str">
        <f>"120406101"</f>
        <v>120406101</v>
      </c>
      <c r="F1482" t="s">
        <v>5207</v>
      </c>
      <c r="G1482" t="s">
        <v>42</v>
      </c>
      <c r="H1482" t="s">
        <v>5208</v>
      </c>
      <c r="I1482" t="s">
        <v>944</v>
      </c>
      <c r="J1482" t="s">
        <v>118</v>
      </c>
      <c r="K1482" t="str">
        <f>"5203943053"</f>
        <v>5203943053</v>
      </c>
      <c r="L1482" t="str">
        <f>""</f>
        <v/>
      </c>
      <c r="M1482" t="str">
        <f>"5203943051"</f>
        <v>5203943051</v>
      </c>
      <c r="N1482" t="str">
        <f>""</f>
        <v/>
      </c>
      <c r="O1482" t="s">
        <v>5209</v>
      </c>
      <c r="P1482" t="s">
        <v>5210</v>
      </c>
      <c r="R1482" t="s">
        <v>5205</v>
      </c>
      <c r="S1482" t="s">
        <v>36</v>
      </c>
      <c r="T1482" t="str">
        <f>"85624"</f>
        <v>85624</v>
      </c>
      <c r="U1482" t="str">
        <f>""</f>
        <v/>
      </c>
      <c r="V1482" t="s">
        <v>5206</v>
      </c>
      <c r="X1482" t="s">
        <v>5205</v>
      </c>
      <c r="Y1482" t="s">
        <v>36</v>
      </c>
      <c r="Z1482" t="str">
        <f>"85624"</f>
        <v>85624</v>
      </c>
      <c r="AA1482" t="str">
        <f>""</f>
        <v/>
      </c>
      <c r="AB1482" t="s">
        <v>265</v>
      </c>
    </row>
    <row r="1483" spans="1:28" x14ac:dyDescent="0.25">
      <c r="A1483">
        <v>4462</v>
      </c>
      <c r="B1483" t="str">
        <f>"120520000"</f>
        <v>120520000</v>
      </c>
      <c r="C1483" t="s">
        <v>5200</v>
      </c>
      <c r="D1483">
        <v>5971</v>
      </c>
      <c r="E1483" t="str">
        <f>"120520201"</f>
        <v>120520201</v>
      </c>
      <c r="F1483" t="s">
        <v>5211</v>
      </c>
      <c r="G1483" t="s">
        <v>42</v>
      </c>
      <c r="H1483" t="s">
        <v>5208</v>
      </c>
      <c r="I1483" t="s">
        <v>944</v>
      </c>
      <c r="J1483" t="s">
        <v>118</v>
      </c>
      <c r="K1483" t="str">
        <f>"5203943053"</f>
        <v>5203943053</v>
      </c>
      <c r="L1483" t="str">
        <f>""</f>
        <v/>
      </c>
      <c r="M1483" t="str">
        <f>"5203943051"</f>
        <v>5203943051</v>
      </c>
      <c r="N1483" t="str">
        <f>""</f>
        <v/>
      </c>
      <c r="O1483" t="s">
        <v>5209</v>
      </c>
      <c r="P1483" t="s">
        <v>5204</v>
      </c>
      <c r="R1483" t="s">
        <v>5205</v>
      </c>
      <c r="S1483" t="s">
        <v>36</v>
      </c>
      <c r="T1483" t="str">
        <f>"85624"</f>
        <v>85624</v>
      </c>
      <c r="U1483" t="str">
        <f>""</f>
        <v/>
      </c>
      <c r="V1483" t="s">
        <v>5206</v>
      </c>
      <c r="X1483" t="s">
        <v>5205</v>
      </c>
      <c r="Y1483" t="s">
        <v>36</v>
      </c>
      <c r="Z1483" t="str">
        <f>"85624"</f>
        <v>85624</v>
      </c>
      <c r="AA1483" t="str">
        <f>""</f>
        <v/>
      </c>
      <c r="AB1483" t="s">
        <v>265</v>
      </c>
    </row>
    <row r="1484" spans="1:28" x14ac:dyDescent="0.25">
      <c r="A1484">
        <v>4463</v>
      </c>
      <c r="B1484" t="str">
        <f>"128703000"</f>
        <v>128703000</v>
      </c>
      <c r="C1484" t="s">
        <v>5212</v>
      </c>
      <c r="D1484">
        <v>0</v>
      </c>
      <c r="E1484" t="str">
        <f>""</f>
        <v/>
      </c>
      <c r="G1484" t="s">
        <v>29</v>
      </c>
      <c r="H1484" t="s">
        <v>5213</v>
      </c>
      <c r="I1484" t="s">
        <v>110</v>
      </c>
      <c r="J1484" t="s">
        <v>3720</v>
      </c>
      <c r="K1484" t="str">
        <f>"5202876790"</f>
        <v>5202876790</v>
      </c>
      <c r="L1484" t="str">
        <f>""</f>
        <v/>
      </c>
      <c r="M1484" t="str">
        <f>"5202870037"</f>
        <v>5202870037</v>
      </c>
      <c r="N1484" t="str">
        <f>""</f>
        <v/>
      </c>
      <c r="O1484" t="s">
        <v>5214</v>
      </c>
      <c r="P1484" t="s">
        <v>5215</v>
      </c>
      <c r="R1484" t="s">
        <v>5129</v>
      </c>
      <c r="S1484" t="s">
        <v>36</v>
      </c>
      <c r="T1484" t="str">
        <f>"85621"</f>
        <v>85621</v>
      </c>
      <c r="U1484" t="str">
        <f>""</f>
        <v/>
      </c>
      <c r="V1484" t="s">
        <v>5215</v>
      </c>
      <c r="X1484" t="s">
        <v>5129</v>
      </c>
      <c r="Y1484" t="s">
        <v>36</v>
      </c>
      <c r="Z1484" t="str">
        <f>"85621"</f>
        <v>85621</v>
      </c>
      <c r="AA1484" t="str">
        <f>""</f>
        <v/>
      </c>
      <c r="AB1484" t="s">
        <v>86</v>
      </c>
    </row>
    <row r="1485" spans="1:28" x14ac:dyDescent="0.25">
      <c r="A1485">
        <v>4463</v>
      </c>
      <c r="B1485" t="str">
        <f>"128703000"</f>
        <v>128703000</v>
      </c>
      <c r="C1485" t="s">
        <v>5212</v>
      </c>
      <c r="D1485">
        <v>5972</v>
      </c>
      <c r="E1485" t="str">
        <f>"128703001"</f>
        <v>128703001</v>
      </c>
      <c r="F1485" t="s">
        <v>5216</v>
      </c>
      <c r="G1485" t="s">
        <v>42</v>
      </c>
      <c r="H1485" t="s">
        <v>5213</v>
      </c>
      <c r="I1485" t="s">
        <v>110</v>
      </c>
      <c r="J1485" t="s">
        <v>3720</v>
      </c>
      <c r="K1485" t="str">
        <f>"5202876790"</f>
        <v>5202876790</v>
      </c>
      <c r="L1485" t="str">
        <f>"106"</f>
        <v>106</v>
      </c>
      <c r="M1485" t="str">
        <f>"5202870037"</f>
        <v>5202870037</v>
      </c>
      <c r="N1485" t="str">
        <f>""</f>
        <v/>
      </c>
      <c r="O1485" t="s">
        <v>5214</v>
      </c>
      <c r="P1485" t="s">
        <v>5215</v>
      </c>
      <c r="R1485" t="s">
        <v>5129</v>
      </c>
      <c r="S1485" t="s">
        <v>36</v>
      </c>
      <c r="T1485" t="str">
        <f>"85621"</f>
        <v>85621</v>
      </c>
      <c r="U1485" t="str">
        <f>""</f>
        <v/>
      </c>
      <c r="V1485" t="s">
        <v>5215</v>
      </c>
      <c r="X1485" t="s">
        <v>5129</v>
      </c>
      <c r="Y1485" t="s">
        <v>36</v>
      </c>
      <c r="Z1485" t="str">
        <f>"85621"</f>
        <v>85621</v>
      </c>
      <c r="AA1485" t="str">
        <f>""</f>
        <v/>
      </c>
      <c r="AB1485" t="s">
        <v>86</v>
      </c>
    </row>
    <row r="1486" spans="1:28" x14ac:dyDescent="0.25">
      <c r="A1486">
        <v>4463</v>
      </c>
      <c r="B1486" t="str">
        <f>"128703000"</f>
        <v>128703000</v>
      </c>
      <c r="C1486" t="s">
        <v>5212</v>
      </c>
      <c r="D1486">
        <v>92176</v>
      </c>
      <c r="E1486" t="str">
        <f>"128703002"</f>
        <v>128703002</v>
      </c>
      <c r="F1486" t="s">
        <v>5217</v>
      </c>
      <c r="G1486" t="s">
        <v>42</v>
      </c>
      <c r="H1486" t="s">
        <v>1995</v>
      </c>
      <c r="I1486" t="s">
        <v>3040</v>
      </c>
      <c r="J1486" t="s">
        <v>5218</v>
      </c>
      <c r="K1486" t="str">
        <f>"5206244018"</f>
        <v>5206244018</v>
      </c>
      <c r="L1486" t="str">
        <f>""</f>
        <v/>
      </c>
      <c r="M1486" t="str">
        <f>"5206240637"</f>
        <v>5206240637</v>
      </c>
      <c r="N1486" t="str">
        <f>""</f>
        <v/>
      </c>
      <c r="O1486" t="s">
        <v>5219</v>
      </c>
      <c r="P1486" t="s">
        <v>5220</v>
      </c>
      <c r="R1486" t="s">
        <v>4169</v>
      </c>
      <c r="S1486" t="s">
        <v>36</v>
      </c>
      <c r="T1486" t="str">
        <f>"85705"</f>
        <v>85705</v>
      </c>
      <c r="U1486" t="str">
        <f>""</f>
        <v/>
      </c>
      <c r="V1486" t="s">
        <v>5220</v>
      </c>
      <c r="X1486" t="s">
        <v>4169</v>
      </c>
      <c r="Y1486" t="s">
        <v>36</v>
      </c>
      <c r="Z1486" t="str">
        <f>"85705"</f>
        <v>85705</v>
      </c>
      <c r="AA1486" t="str">
        <f>""</f>
        <v/>
      </c>
      <c r="AB1486" t="s">
        <v>86</v>
      </c>
    </row>
    <row r="1487" spans="1:28" x14ac:dyDescent="0.25">
      <c r="A1487">
        <v>4466</v>
      </c>
      <c r="B1487" t="str">
        <f t="shared" ref="B1487:B1494" si="258">"130201000"</f>
        <v>130201000</v>
      </c>
      <c r="C1487" t="s">
        <v>5221</v>
      </c>
      <c r="D1487">
        <v>0</v>
      </c>
      <c r="E1487" t="str">
        <f>""</f>
        <v/>
      </c>
      <c r="G1487" t="s">
        <v>29</v>
      </c>
      <c r="H1487" t="s">
        <v>2932</v>
      </c>
      <c r="I1487" t="s">
        <v>5222</v>
      </c>
      <c r="J1487" t="s">
        <v>5223</v>
      </c>
      <c r="K1487" t="str">
        <f>"9287173232"</f>
        <v>9287173232</v>
      </c>
      <c r="L1487" t="str">
        <f>""</f>
        <v/>
      </c>
      <c r="M1487" t="str">
        <f>""</f>
        <v/>
      </c>
      <c r="N1487" t="str">
        <f>""</f>
        <v/>
      </c>
      <c r="O1487" t="s">
        <v>5224</v>
      </c>
      <c r="P1487" t="s">
        <v>5225</v>
      </c>
      <c r="R1487" t="s">
        <v>5226</v>
      </c>
      <c r="S1487" t="s">
        <v>36</v>
      </c>
      <c r="T1487" t="str">
        <f>"86305"</f>
        <v>86305</v>
      </c>
      <c r="U1487" t="str">
        <f>""</f>
        <v/>
      </c>
      <c r="V1487" t="s">
        <v>5225</v>
      </c>
      <c r="X1487" t="s">
        <v>5226</v>
      </c>
      <c r="Y1487" t="s">
        <v>36</v>
      </c>
      <c r="Z1487" t="str">
        <f>"86305"</f>
        <v>86305</v>
      </c>
      <c r="AA1487" t="str">
        <f>""</f>
        <v/>
      </c>
      <c r="AB1487" t="s">
        <v>1166</v>
      </c>
    </row>
    <row r="1488" spans="1:28" x14ac:dyDescent="0.25">
      <c r="A1488">
        <v>4466</v>
      </c>
      <c r="B1488" t="str">
        <f t="shared" si="258"/>
        <v>130201000</v>
      </c>
      <c r="C1488" t="s">
        <v>5221</v>
      </c>
      <c r="D1488">
        <v>8128</v>
      </c>
      <c r="E1488" t="str">
        <f>"130201012"</f>
        <v>130201012</v>
      </c>
      <c r="F1488" t="s">
        <v>999</v>
      </c>
      <c r="G1488" t="s">
        <v>42</v>
      </c>
      <c r="H1488" t="s">
        <v>3102</v>
      </c>
      <c r="I1488" t="s">
        <v>1647</v>
      </c>
      <c r="J1488" t="s">
        <v>5227</v>
      </c>
      <c r="K1488" t="str">
        <f>"9287173249"</f>
        <v>9287173249</v>
      </c>
      <c r="L1488" t="str">
        <f>"77120"</f>
        <v>77120</v>
      </c>
      <c r="M1488" t="str">
        <f>""</f>
        <v/>
      </c>
      <c r="N1488" t="str">
        <f>""</f>
        <v/>
      </c>
      <c r="O1488" t="s">
        <v>5228</v>
      </c>
      <c r="P1488" t="s">
        <v>5229</v>
      </c>
      <c r="R1488" t="s">
        <v>5226</v>
      </c>
      <c r="S1488" t="s">
        <v>36</v>
      </c>
      <c r="T1488" t="str">
        <f>"86303"</f>
        <v>86303</v>
      </c>
      <c r="U1488" t="str">
        <f>""</f>
        <v/>
      </c>
      <c r="V1488" t="s">
        <v>5229</v>
      </c>
      <c r="X1488" t="s">
        <v>5226</v>
      </c>
      <c r="Y1488" t="s">
        <v>36</v>
      </c>
      <c r="Z1488" t="str">
        <f>"86303"</f>
        <v>86303</v>
      </c>
      <c r="AA1488" t="str">
        <f>""</f>
        <v/>
      </c>
      <c r="AB1488" t="s">
        <v>1166</v>
      </c>
    </row>
    <row r="1489" spans="1:28" x14ac:dyDescent="0.25">
      <c r="A1489">
        <v>4466</v>
      </c>
      <c r="B1489" t="str">
        <f t="shared" si="258"/>
        <v>130201000</v>
      </c>
      <c r="C1489" t="s">
        <v>5221</v>
      </c>
      <c r="D1489">
        <v>8130</v>
      </c>
      <c r="E1489" t="str">
        <f>"130201014"</f>
        <v>130201014</v>
      </c>
      <c r="F1489" t="s">
        <v>5230</v>
      </c>
      <c r="G1489" t="s">
        <v>42</v>
      </c>
      <c r="H1489" t="s">
        <v>109</v>
      </c>
      <c r="I1489" t="s">
        <v>5231</v>
      </c>
      <c r="J1489" t="s">
        <v>195</v>
      </c>
      <c r="K1489" t="str">
        <f>"9287173276"</f>
        <v>9287173276</v>
      </c>
      <c r="L1489" t="str">
        <f>"76400"</f>
        <v>76400</v>
      </c>
      <c r="M1489" t="str">
        <f>"9287173275"</f>
        <v>9287173275</v>
      </c>
      <c r="N1489" t="str">
        <f>""</f>
        <v/>
      </c>
      <c r="O1489" t="s">
        <v>5232</v>
      </c>
      <c r="P1489" t="s">
        <v>5233</v>
      </c>
      <c r="R1489" t="s">
        <v>5226</v>
      </c>
      <c r="S1489" t="s">
        <v>36</v>
      </c>
      <c r="T1489" t="str">
        <f>"86301"</f>
        <v>86301</v>
      </c>
      <c r="U1489" t="str">
        <f>""</f>
        <v/>
      </c>
      <c r="V1489" t="s">
        <v>5233</v>
      </c>
      <c r="X1489" t="s">
        <v>5226</v>
      </c>
      <c r="Y1489" t="s">
        <v>36</v>
      </c>
      <c r="Z1489" t="str">
        <f>"86301"</f>
        <v>86301</v>
      </c>
      <c r="AA1489" t="str">
        <f>""</f>
        <v/>
      </c>
      <c r="AB1489" t="s">
        <v>1166</v>
      </c>
    </row>
    <row r="1490" spans="1:28" x14ac:dyDescent="0.25">
      <c r="A1490">
        <v>4466</v>
      </c>
      <c r="B1490" t="str">
        <f t="shared" si="258"/>
        <v>130201000</v>
      </c>
      <c r="C1490" t="s">
        <v>5221</v>
      </c>
      <c r="D1490">
        <v>8132</v>
      </c>
      <c r="E1490" t="str">
        <f>"130201016"</f>
        <v>130201016</v>
      </c>
      <c r="F1490" t="s">
        <v>5234</v>
      </c>
      <c r="G1490" t="s">
        <v>42</v>
      </c>
      <c r="H1490" t="s">
        <v>3022</v>
      </c>
      <c r="I1490" t="s">
        <v>5235</v>
      </c>
      <c r="J1490" t="s">
        <v>195</v>
      </c>
      <c r="K1490" t="str">
        <f>"9287173263"</f>
        <v>9287173263</v>
      </c>
      <c r="L1490" t="str">
        <f>"75137"</f>
        <v>75137</v>
      </c>
      <c r="M1490" t="str">
        <f>"9287173262"</f>
        <v>9287173262</v>
      </c>
      <c r="N1490" t="str">
        <f>""</f>
        <v/>
      </c>
      <c r="O1490" t="s">
        <v>5236</v>
      </c>
      <c r="P1490" t="s">
        <v>5237</v>
      </c>
      <c r="R1490" t="s">
        <v>5226</v>
      </c>
      <c r="S1490" t="s">
        <v>36</v>
      </c>
      <c r="T1490" t="str">
        <f>"86305"</f>
        <v>86305</v>
      </c>
      <c r="U1490" t="str">
        <f>""</f>
        <v/>
      </c>
      <c r="V1490" t="s">
        <v>5237</v>
      </c>
      <c r="X1490" t="s">
        <v>5226</v>
      </c>
      <c r="Y1490" t="s">
        <v>36</v>
      </c>
      <c r="Z1490" t="str">
        <f>"86305"</f>
        <v>86305</v>
      </c>
      <c r="AA1490" t="str">
        <f>""</f>
        <v/>
      </c>
      <c r="AB1490" t="s">
        <v>1166</v>
      </c>
    </row>
    <row r="1491" spans="1:28" x14ac:dyDescent="0.25">
      <c r="A1491">
        <v>4466</v>
      </c>
      <c r="B1491" t="str">
        <f t="shared" si="258"/>
        <v>130201000</v>
      </c>
      <c r="C1491" t="s">
        <v>5221</v>
      </c>
      <c r="D1491">
        <v>8133</v>
      </c>
      <c r="E1491" t="str">
        <f>"130201050"</f>
        <v>130201050</v>
      </c>
      <c r="F1491" t="s">
        <v>5238</v>
      </c>
      <c r="G1491" t="s">
        <v>42</v>
      </c>
      <c r="H1491" t="s">
        <v>5239</v>
      </c>
      <c r="I1491" t="s">
        <v>5240</v>
      </c>
      <c r="J1491" t="s">
        <v>195</v>
      </c>
      <c r="K1491" t="str">
        <f>"9287173241"</f>
        <v>9287173241</v>
      </c>
      <c r="L1491" t="str">
        <f>"73004"</f>
        <v>73004</v>
      </c>
      <c r="M1491" t="str">
        <f>"9287173298"</f>
        <v>9287173298</v>
      </c>
      <c r="N1491" t="str">
        <f>""</f>
        <v/>
      </c>
      <c r="O1491" t="s">
        <v>5241</v>
      </c>
      <c r="P1491" t="s">
        <v>5242</v>
      </c>
      <c r="R1491" t="s">
        <v>5226</v>
      </c>
      <c r="S1491" t="s">
        <v>36</v>
      </c>
      <c r="T1491" t="str">
        <f>"86303"</f>
        <v>86303</v>
      </c>
      <c r="U1491" t="str">
        <f>""</f>
        <v/>
      </c>
      <c r="V1491" t="s">
        <v>5242</v>
      </c>
      <c r="X1491" t="s">
        <v>5226</v>
      </c>
      <c r="Y1491" t="s">
        <v>36</v>
      </c>
      <c r="Z1491" t="str">
        <f>"86303"</f>
        <v>86303</v>
      </c>
      <c r="AA1491" t="str">
        <f>""</f>
        <v/>
      </c>
      <c r="AB1491" t="s">
        <v>1166</v>
      </c>
    </row>
    <row r="1492" spans="1:28" x14ac:dyDescent="0.25">
      <c r="A1492">
        <v>4466</v>
      </c>
      <c r="B1492" t="str">
        <f t="shared" si="258"/>
        <v>130201000</v>
      </c>
      <c r="C1492" t="s">
        <v>5221</v>
      </c>
      <c r="D1492">
        <v>8134</v>
      </c>
      <c r="E1492" t="str">
        <f>"130201060"</f>
        <v>130201060</v>
      </c>
      <c r="F1492" t="s">
        <v>5243</v>
      </c>
      <c r="G1492" t="s">
        <v>42</v>
      </c>
      <c r="H1492" t="s">
        <v>5244</v>
      </c>
      <c r="I1492" t="s">
        <v>5245</v>
      </c>
      <c r="J1492" t="s">
        <v>195</v>
      </c>
      <c r="K1492" t="str">
        <f>"9287173253"</f>
        <v>9287173253</v>
      </c>
      <c r="L1492" t="str">
        <f>"74425"</f>
        <v>74425</v>
      </c>
      <c r="M1492" t="str">
        <f>"9287786399"</f>
        <v>9287786399</v>
      </c>
      <c r="N1492" t="str">
        <f>""</f>
        <v/>
      </c>
      <c r="O1492" t="s">
        <v>5246</v>
      </c>
      <c r="P1492" t="s">
        <v>5247</v>
      </c>
      <c r="R1492" t="s">
        <v>5226</v>
      </c>
      <c r="S1492" t="s">
        <v>36</v>
      </c>
      <c r="T1492" t="str">
        <f>"86305"</f>
        <v>86305</v>
      </c>
      <c r="U1492" t="str">
        <f>""</f>
        <v/>
      </c>
      <c r="V1492" t="s">
        <v>5247</v>
      </c>
      <c r="X1492" t="s">
        <v>5226</v>
      </c>
      <c r="Y1492" t="s">
        <v>36</v>
      </c>
      <c r="Z1492" t="str">
        <f>"86305"</f>
        <v>86305</v>
      </c>
      <c r="AA1492" t="str">
        <f>""</f>
        <v/>
      </c>
      <c r="AB1492" t="s">
        <v>1166</v>
      </c>
    </row>
    <row r="1493" spans="1:28" x14ac:dyDescent="0.25">
      <c r="A1493">
        <v>4466</v>
      </c>
      <c r="B1493" t="str">
        <f t="shared" si="258"/>
        <v>130201000</v>
      </c>
      <c r="C1493" t="s">
        <v>5221</v>
      </c>
      <c r="D1493">
        <v>8135</v>
      </c>
      <c r="E1493" t="str">
        <f>"130201070"</f>
        <v>130201070</v>
      </c>
      <c r="F1493" t="s">
        <v>5248</v>
      </c>
      <c r="G1493" t="s">
        <v>42</v>
      </c>
      <c r="H1493" t="s">
        <v>5249</v>
      </c>
      <c r="I1493" t="s">
        <v>5250</v>
      </c>
      <c r="J1493" t="s">
        <v>5251</v>
      </c>
      <c r="K1493" t="str">
        <f>"9284452322"</f>
        <v>9284452322</v>
      </c>
      <c r="L1493" t="str">
        <f>"72136"</f>
        <v>72136</v>
      </c>
      <c r="M1493" t="str">
        <f>"9287786106"</f>
        <v>9287786106</v>
      </c>
      <c r="N1493" t="str">
        <f>""</f>
        <v/>
      </c>
      <c r="O1493" t="s">
        <v>5252</v>
      </c>
      <c r="P1493" t="s">
        <v>5253</v>
      </c>
      <c r="R1493" t="s">
        <v>5226</v>
      </c>
      <c r="S1493" t="s">
        <v>36</v>
      </c>
      <c r="T1493" t="str">
        <f>"86301"</f>
        <v>86301</v>
      </c>
      <c r="U1493" t="str">
        <f>""</f>
        <v/>
      </c>
      <c r="V1493" t="s">
        <v>5253</v>
      </c>
      <c r="X1493" t="s">
        <v>5226</v>
      </c>
      <c r="Y1493" t="s">
        <v>36</v>
      </c>
      <c r="Z1493" t="str">
        <f>"86301"</f>
        <v>86301</v>
      </c>
      <c r="AA1493" t="str">
        <f>""</f>
        <v/>
      </c>
      <c r="AB1493" t="s">
        <v>1166</v>
      </c>
    </row>
    <row r="1494" spans="1:28" x14ac:dyDescent="0.25">
      <c r="A1494">
        <v>4466</v>
      </c>
      <c r="B1494" t="str">
        <f t="shared" si="258"/>
        <v>130201000</v>
      </c>
      <c r="C1494" t="s">
        <v>5221</v>
      </c>
      <c r="D1494">
        <v>80184</v>
      </c>
      <c r="E1494" t="str">
        <f>"139101017"</f>
        <v>139101017</v>
      </c>
      <c r="F1494" t="s">
        <v>5254</v>
      </c>
      <c r="G1494" t="s">
        <v>42</v>
      </c>
      <c r="H1494" t="s">
        <v>2932</v>
      </c>
      <c r="I1494" t="s">
        <v>5222</v>
      </c>
      <c r="J1494" t="s">
        <v>926</v>
      </c>
      <c r="K1494" t="str">
        <f>"9287173232"</f>
        <v>9287173232</v>
      </c>
      <c r="L1494" t="str">
        <f>""</f>
        <v/>
      </c>
      <c r="M1494" t="str">
        <f>"9287786399"</f>
        <v>9287786399</v>
      </c>
      <c r="N1494" t="str">
        <f>""</f>
        <v/>
      </c>
      <c r="O1494" t="s">
        <v>5224</v>
      </c>
      <c r="P1494" t="s">
        <v>5255</v>
      </c>
      <c r="R1494" t="s">
        <v>5226</v>
      </c>
      <c r="S1494" t="s">
        <v>36</v>
      </c>
      <c r="T1494" t="str">
        <f>"86303"</f>
        <v>86303</v>
      </c>
      <c r="U1494" t="str">
        <f>""</f>
        <v/>
      </c>
      <c r="V1494" t="s">
        <v>5255</v>
      </c>
      <c r="X1494" t="s">
        <v>5226</v>
      </c>
      <c r="Y1494" t="s">
        <v>36</v>
      </c>
      <c r="Z1494" t="str">
        <f>"86303"</f>
        <v>86303</v>
      </c>
      <c r="AA1494" t="str">
        <f>""</f>
        <v/>
      </c>
      <c r="AB1494" t="s">
        <v>1166</v>
      </c>
    </row>
    <row r="1495" spans="1:28" x14ac:dyDescent="0.25">
      <c r="A1495">
        <v>4467</v>
      </c>
      <c r="B1495" t="str">
        <f>"130209000"</f>
        <v>130209000</v>
      </c>
      <c r="C1495" t="s">
        <v>5256</v>
      </c>
      <c r="D1495">
        <v>0</v>
      </c>
      <c r="E1495" t="str">
        <f>""</f>
        <v/>
      </c>
      <c r="G1495" t="s">
        <v>29</v>
      </c>
      <c r="H1495" t="s">
        <v>3744</v>
      </c>
      <c r="I1495" t="s">
        <v>5257</v>
      </c>
      <c r="J1495" t="s">
        <v>5104</v>
      </c>
      <c r="K1495" t="str">
        <f>"9282046600"</f>
        <v>9282046600</v>
      </c>
      <c r="L1495" t="str">
        <f>""</f>
        <v/>
      </c>
      <c r="M1495" t="str">
        <f>""</f>
        <v/>
      </c>
      <c r="N1495" t="str">
        <f>""</f>
        <v/>
      </c>
      <c r="O1495" t="s">
        <v>5258</v>
      </c>
      <c r="P1495" t="s">
        <v>5259</v>
      </c>
      <c r="R1495" t="s">
        <v>5260</v>
      </c>
      <c r="S1495" t="s">
        <v>36</v>
      </c>
      <c r="T1495" t="str">
        <f>"86336"</f>
        <v>86336</v>
      </c>
      <c r="U1495" t="str">
        <f>""</f>
        <v/>
      </c>
      <c r="V1495" t="s">
        <v>5259</v>
      </c>
      <c r="X1495" t="s">
        <v>5260</v>
      </c>
      <c r="Y1495" t="s">
        <v>36</v>
      </c>
      <c r="Z1495" t="str">
        <f>"86336"</f>
        <v>86336</v>
      </c>
      <c r="AA1495" t="str">
        <f>""</f>
        <v/>
      </c>
      <c r="AB1495" t="s">
        <v>508</v>
      </c>
    </row>
    <row r="1496" spans="1:28" x14ac:dyDescent="0.25">
      <c r="A1496">
        <v>4467</v>
      </c>
      <c r="B1496" t="str">
        <f>"130209000"</f>
        <v>130209000</v>
      </c>
      <c r="C1496" t="s">
        <v>5256</v>
      </c>
      <c r="D1496">
        <v>6083</v>
      </c>
      <c r="E1496" t="str">
        <f>"130209120"</f>
        <v>130209120</v>
      </c>
      <c r="F1496" t="s">
        <v>5261</v>
      </c>
      <c r="G1496" t="s">
        <v>42</v>
      </c>
      <c r="H1496" t="s">
        <v>3744</v>
      </c>
      <c r="I1496" t="s">
        <v>5257</v>
      </c>
      <c r="J1496" t="s">
        <v>5104</v>
      </c>
      <c r="K1496" t="str">
        <f>"9282046803"</f>
        <v>9282046803</v>
      </c>
      <c r="L1496" t="str">
        <f>""</f>
        <v/>
      </c>
      <c r="M1496" t="str">
        <f>"9282820232"</f>
        <v>9282820232</v>
      </c>
      <c r="N1496" t="str">
        <f>""</f>
        <v/>
      </c>
      <c r="O1496" t="s">
        <v>5258</v>
      </c>
      <c r="P1496" t="s">
        <v>5262</v>
      </c>
      <c r="R1496" t="s">
        <v>5260</v>
      </c>
      <c r="S1496" t="s">
        <v>36</v>
      </c>
      <c r="T1496" t="str">
        <f>"86336"</f>
        <v>86336</v>
      </c>
      <c r="U1496" t="str">
        <f>""</f>
        <v/>
      </c>
      <c r="V1496" t="s">
        <v>5262</v>
      </c>
      <c r="X1496" t="s">
        <v>5260</v>
      </c>
      <c r="Y1496" t="s">
        <v>36</v>
      </c>
      <c r="Z1496" t="str">
        <f>"86336"</f>
        <v>86336</v>
      </c>
      <c r="AA1496" t="str">
        <f>""</f>
        <v/>
      </c>
      <c r="AB1496" t="s">
        <v>508</v>
      </c>
    </row>
    <row r="1497" spans="1:28" x14ac:dyDescent="0.25">
      <c r="A1497">
        <v>4467</v>
      </c>
      <c r="B1497" t="str">
        <f>"130209000"</f>
        <v>130209000</v>
      </c>
      <c r="C1497" t="s">
        <v>5256</v>
      </c>
      <c r="D1497">
        <v>6085</v>
      </c>
      <c r="E1497" t="str">
        <f>"130209210"</f>
        <v>130209210</v>
      </c>
      <c r="F1497" t="s">
        <v>5263</v>
      </c>
      <c r="G1497" t="s">
        <v>42</v>
      </c>
      <c r="H1497" t="s">
        <v>3744</v>
      </c>
      <c r="I1497" t="s">
        <v>5257</v>
      </c>
      <c r="J1497" t="s">
        <v>5104</v>
      </c>
      <c r="K1497" t="str">
        <f>"9282046803"</f>
        <v>9282046803</v>
      </c>
      <c r="L1497" t="str">
        <f>""</f>
        <v/>
      </c>
      <c r="M1497" t="str">
        <f>"9282820232"</f>
        <v>9282820232</v>
      </c>
      <c r="N1497" t="str">
        <f>""</f>
        <v/>
      </c>
      <c r="O1497" t="s">
        <v>5258</v>
      </c>
      <c r="P1497" t="s">
        <v>5264</v>
      </c>
      <c r="R1497" t="s">
        <v>5260</v>
      </c>
      <c r="S1497" t="s">
        <v>36</v>
      </c>
      <c r="T1497" t="str">
        <f>"86336"</f>
        <v>86336</v>
      </c>
      <c r="U1497" t="str">
        <f>""</f>
        <v/>
      </c>
      <c r="V1497" t="s">
        <v>5264</v>
      </c>
      <c r="X1497" t="s">
        <v>5260</v>
      </c>
      <c r="Y1497" t="s">
        <v>36</v>
      </c>
      <c r="Z1497" t="str">
        <f>"86336"</f>
        <v>86336</v>
      </c>
      <c r="AA1497" t="str">
        <f>""</f>
        <v/>
      </c>
      <c r="AB1497" t="s">
        <v>508</v>
      </c>
    </row>
    <row r="1498" spans="1:28" x14ac:dyDescent="0.25">
      <c r="A1498">
        <v>4468</v>
      </c>
      <c r="B1498" t="str">
        <f>"130220000"</f>
        <v>130220000</v>
      </c>
      <c r="C1498" t="s">
        <v>5265</v>
      </c>
      <c r="D1498">
        <v>0</v>
      </c>
      <c r="E1498" t="str">
        <f>""</f>
        <v/>
      </c>
      <c r="G1498" t="s">
        <v>29</v>
      </c>
      <c r="H1498" t="s">
        <v>1589</v>
      </c>
      <c r="I1498" t="s">
        <v>3123</v>
      </c>
      <c r="J1498" t="s">
        <v>32</v>
      </c>
      <c r="K1498" t="str">
        <f>"9286334101"</f>
        <v>9286334101</v>
      </c>
      <c r="L1498" t="str">
        <f>"506"</f>
        <v>506</v>
      </c>
      <c r="M1498" t="str">
        <f>"9286334345"</f>
        <v>9286334345</v>
      </c>
      <c r="N1498" t="str">
        <f>""</f>
        <v/>
      </c>
      <c r="O1498" t="s">
        <v>5266</v>
      </c>
      <c r="P1498" t="s">
        <v>595</v>
      </c>
      <c r="R1498" t="s">
        <v>5267</v>
      </c>
      <c r="S1498" t="s">
        <v>36</v>
      </c>
      <c r="T1498" t="str">
        <f>"86321"</f>
        <v>86321</v>
      </c>
      <c r="U1498" t="str">
        <f>""</f>
        <v/>
      </c>
      <c r="V1498" t="s">
        <v>5268</v>
      </c>
      <c r="X1498" t="s">
        <v>5267</v>
      </c>
      <c r="Y1498" t="s">
        <v>36</v>
      </c>
      <c r="Z1498" t="str">
        <f>"86321"</f>
        <v>86321</v>
      </c>
      <c r="AA1498" t="str">
        <f>""</f>
        <v/>
      </c>
      <c r="AB1498" t="s">
        <v>282</v>
      </c>
    </row>
    <row r="1499" spans="1:28" x14ac:dyDescent="0.25">
      <c r="A1499">
        <v>4468</v>
      </c>
      <c r="B1499" t="str">
        <f>"130220000"</f>
        <v>130220000</v>
      </c>
      <c r="C1499" t="s">
        <v>5265</v>
      </c>
      <c r="D1499">
        <v>6088</v>
      </c>
      <c r="E1499" t="str">
        <f>"130220101"</f>
        <v>130220101</v>
      </c>
      <c r="F1499" t="s">
        <v>5269</v>
      </c>
      <c r="G1499" t="s">
        <v>42</v>
      </c>
      <c r="H1499" t="s">
        <v>1589</v>
      </c>
      <c r="I1499" t="s">
        <v>3123</v>
      </c>
      <c r="J1499" t="s">
        <v>3959</v>
      </c>
      <c r="K1499" t="str">
        <f>"9286334101"</f>
        <v>9286334101</v>
      </c>
      <c r="L1499" t="str">
        <f>"506"</f>
        <v>506</v>
      </c>
      <c r="M1499" t="str">
        <f>"9286334345"</f>
        <v>9286334345</v>
      </c>
      <c r="N1499" t="str">
        <f>""</f>
        <v/>
      </c>
      <c r="O1499" t="s">
        <v>5266</v>
      </c>
      <c r="P1499" t="s">
        <v>595</v>
      </c>
      <c r="R1499" t="s">
        <v>5267</v>
      </c>
      <c r="S1499" t="s">
        <v>36</v>
      </c>
      <c r="T1499" t="str">
        <f>"86321"</f>
        <v>86321</v>
      </c>
      <c r="U1499" t="str">
        <f>"0427"</f>
        <v>0427</v>
      </c>
      <c r="V1499" t="s">
        <v>5268</v>
      </c>
      <c r="X1499" t="s">
        <v>5267</v>
      </c>
      <c r="Y1499" t="s">
        <v>36</v>
      </c>
      <c r="Z1499" t="str">
        <f>"86321"</f>
        <v>86321</v>
      </c>
      <c r="AA1499" t="str">
        <f>"0427"</f>
        <v>0427</v>
      </c>
      <c r="AB1499" t="s">
        <v>282</v>
      </c>
    </row>
    <row r="1500" spans="1:28" x14ac:dyDescent="0.25">
      <c r="A1500">
        <v>4468</v>
      </c>
      <c r="B1500" t="str">
        <f>"130220000"</f>
        <v>130220000</v>
      </c>
      <c r="C1500" t="s">
        <v>5265</v>
      </c>
      <c r="D1500">
        <v>6089</v>
      </c>
      <c r="E1500" t="str">
        <f>"130220202"</f>
        <v>130220202</v>
      </c>
      <c r="F1500" t="s">
        <v>5270</v>
      </c>
      <c r="G1500" t="s">
        <v>42</v>
      </c>
      <c r="H1500" t="s">
        <v>1589</v>
      </c>
      <c r="I1500" t="s">
        <v>3123</v>
      </c>
      <c r="J1500" t="s">
        <v>32</v>
      </c>
      <c r="K1500" t="str">
        <f>"9286334101"</f>
        <v>9286334101</v>
      </c>
      <c r="L1500" t="str">
        <f>"506"</f>
        <v>506</v>
      </c>
      <c r="M1500" t="str">
        <f>"9286334345"</f>
        <v>9286334345</v>
      </c>
      <c r="N1500" t="str">
        <f>""</f>
        <v/>
      </c>
      <c r="O1500" t="s">
        <v>5266</v>
      </c>
      <c r="P1500" t="s">
        <v>595</v>
      </c>
      <c r="R1500" t="s">
        <v>5267</v>
      </c>
      <c r="S1500" t="s">
        <v>36</v>
      </c>
      <c r="T1500" t="str">
        <f>"86321"</f>
        <v>86321</v>
      </c>
      <c r="U1500" t="str">
        <f>"0427"</f>
        <v>0427</v>
      </c>
      <c r="V1500" t="s">
        <v>5268</v>
      </c>
      <c r="X1500" t="s">
        <v>5267</v>
      </c>
      <c r="Y1500" t="s">
        <v>36</v>
      </c>
      <c r="Z1500" t="str">
        <f>"86321"</f>
        <v>86321</v>
      </c>
      <c r="AA1500" t="str">
        <f>"0427"</f>
        <v>0427</v>
      </c>
      <c r="AB1500" t="s">
        <v>282</v>
      </c>
    </row>
    <row r="1501" spans="1:28" x14ac:dyDescent="0.25">
      <c r="A1501">
        <v>4469</v>
      </c>
      <c r="B1501" t="str">
        <f t="shared" ref="B1501:B1510" si="259">"130222000"</f>
        <v>130222000</v>
      </c>
      <c r="C1501" t="s">
        <v>5271</v>
      </c>
      <c r="D1501">
        <v>0</v>
      </c>
      <c r="E1501" t="str">
        <f>""</f>
        <v/>
      </c>
      <c r="G1501" t="s">
        <v>29</v>
      </c>
      <c r="H1501" t="s">
        <v>5272</v>
      </c>
      <c r="I1501" t="s">
        <v>5273</v>
      </c>
      <c r="J1501" t="s">
        <v>1935</v>
      </c>
      <c r="K1501" t="str">
        <f t="shared" ref="K1501:K1510" si="260">"9287595012"</f>
        <v>9287595012</v>
      </c>
      <c r="L1501" t="str">
        <f>""</f>
        <v/>
      </c>
      <c r="M1501" t="str">
        <f>"9287595042"</f>
        <v>9287595042</v>
      </c>
      <c r="N1501" t="str">
        <f>""</f>
        <v/>
      </c>
      <c r="O1501" t="s">
        <v>5274</v>
      </c>
      <c r="P1501" t="s">
        <v>5275</v>
      </c>
      <c r="Q1501" t="s">
        <v>5276</v>
      </c>
      <c r="R1501" t="s">
        <v>5277</v>
      </c>
      <c r="S1501" t="s">
        <v>36</v>
      </c>
      <c r="T1501" t="str">
        <f t="shared" ref="T1501:T1510" si="261">"86314"</f>
        <v>86314</v>
      </c>
      <c r="U1501" t="str">
        <f>""</f>
        <v/>
      </c>
      <c r="V1501" t="s">
        <v>5275</v>
      </c>
      <c r="W1501" t="s">
        <v>5276</v>
      </c>
      <c r="X1501" t="s">
        <v>5277</v>
      </c>
      <c r="Y1501" t="s">
        <v>36</v>
      </c>
      <c r="Z1501" t="str">
        <f>"86314"</f>
        <v>86314</v>
      </c>
      <c r="AA1501" t="str">
        <f>""</f>
        <v/>
      </c>
      <c r="AB1501" t="s">
        <v>86</v>
      </c>
    </row>
    <row r="1502" spans="1:28" x14ac:dyDescent="0.25">
      <c r="A1502">
        <v>4469</v>
      </c>
      <c r="B1502" t="str">
        <f t="shared" si="259"/>
        <v>130222000</v>
      </c>
      <c r="C1502" t="s">
        <v>5271</v>
      </c>
      <c r="D1502">
        <v>6090</v>
      </c>
      <c r="E1502" t="str">
        <f>"130222110"</f>
        <v>130222110</v>
      </c>
      <c r="F1502" t="s">
        <v>5278</v>
      </c>
      <c r="G1502" t="s">
        <v>42</v>
      </c>
      <c r="H1502" t="s">
        <v>5272</v>
      </c>
      <c r="I1502" t="s">
        <v>5273</v>
      </c>
      <c r="J1502" t="s">
        <v>1935</v>
      </c>
      <c r="K1502" t="str">
        <f t="shared" si="260"/>
        <v>9287595012</v>
      </c>
      <c r="L1502" t="str">
        <f>""</f>
        <v/>
      </c>
      <c r="M1502" t="str">
        <f t="shared" ref="M1502:M1510" si="262">"9287595025"</f>
        <v>9287595025</v>
      </c>
      <c r="N1502" t="str">
        <f>""</f>
        <v/>
      </c>
      <c r="O1502" t="s">
        <v>5274</v>
      </c>
      <c r="P1502" t="s">
        <v>5275</v>
      </c>
      <c r="R1502" t="s">
        <v>5277</v>
      </c>
      <c r="S1502" t="s">
        <v>36</v>
      </c>
      <c r="T1502" t="str">
        <f t="shared" si="261"/>
        <v>86314</v>
      </c>
      <c r="U1502" t="str">
        <f>""</f>
        <v/>
      </c>
      <c r="V1502" t="s">
        <v>5279</v>
      </c>
      <c r="X1502" t="s">
        <v>5277</v>
      </c>
      <c r="Y1502" t="s">
        <v>36</v>
      </c>
      <c r="Z1502" t="str">
        <f>"86314"</f>
        <v>86314</v>
      </c>
      <c r="AA1502" t="str">
        <f>""</f>
        <v/>
      </c>
      <c r="AB1502" t="s">
        <v>86</v>
      </c>
    </row>
    <row r="1503" spans="1:28" x14ac:dyDescent="0.25">
      <c r="A1503">
        <v>4469</v>
      </c>
      <c r="B1503" t="str">
        <f t="shared" si="259"/>
        <v>130222000</v>
      </c>
      <c r="C1503" t="s">
        <v>5271</v>
      </c>
      <c r="D1503">
        <v>6091</v>
      </c>
      <c r="E1503" t="str">
        <f>"130222120"</f>
        <v>130222120</v>
      </c>
      <c r="F1503" t="s">
        <v>5280</v>
      </c>
      <c r="G1503" t="s">
        <v>42</v>
      </c>
      <c r="H1503" t="s">
        <v>5272</v>
      </c>
      <c r="I1503" t="s">
        <v>5273</v>
      </c>
      <c r="J1503" t="s">
        <v>1935</v>
      </c>
      <c r="K1503" t="str">
        <f t="shared" si="260"/>
        <v>9287595012</v>
      </c>
      <c r="L1503" t="str">
        <f>""</f>
        <v/>
      </c>
      <c r="M1503" t="str">
        <f t="shared" si="262"/>
        <v>9287595025</v>
      </c>
      <c r="N1503" t="str">
        <f>""</f>
        <v/>
      </c>
      <c r="O1503" t="s">
        <v>5274</v>
      </c>
      <c r="P1503" t="s">
        <v>5275</v>
      </c>
      <c r="R1503" t="s">
        <v>5277</v>
      </c>
      <c r="S1503" t="s">
        <v>36</v>
      </c>
      <c r="T1503" t="str">
        <f t="shared" si="261"/>
        <v>86314</v>
      </c>
      <c r="U1503" t="str">
        <f>""</f>
        <v/>
      </c>
      <c r="V1503" t="s">
        <v>5281</v>
      </c>
      <c r="X1503" t="s">
        <v>5282</v>
      </c>
      <c r="Y1503" t="s">
        <v>36</v>
      </c>
      <c r="Z1503" t="str">
        <f>"86327"</f>
        <v>86327</v>
      </c>
      <c r="AA1503" t="str">
        <f>""</f>
        <v/>
      </c>
      <c r="AB1503" t="s">
        <v>86</v>
      </c>
    </row>
    <row r="1504" spans="1:28" x14ac:dyDescent="0.25">
      <c r="A1504">
        <v>4469</v>
      </c>
      <c r="B1504" t="str">
        <f t="shared" si="259"/>
        <v>130222000</v>
      </c>
      <c r="C1504" t="s">
        <v>5271</v>
      </c>
      <c r="D1504">
        <v>6092</v>
      </c>
      <c r="E1504" t="str">
        <f>"130222125"</f>
        <v>130222125</v>
      </c>
      <c r="F1504" t="s">
        <v>5283</v>
      </c>
      <c r="G1504" t="s">
        <v>42</v>
      </c>
      <c r="H1504" t="s">
        <v>5272</v>
      </c>
      <c r="I1504" t="s">
        <v>5273</v>
      </c>
      <c r="J1504" t="s">
        <v>1935</v>
      </c>
      <c r="K1504" t="str">
        <f t="shared" si="260"/>
        <v>9287595012</v>
      </c>
      <c r="L1504" t="str">
        <f>""</f>
        <v/>
      </c>
      <c r="M1504" t="str">
        <f t="shared" si="262"/>
        <v>9287595025</v>
      </c>
      <c r="N1504" t="str">
        <f>""</f>
        <v/>
      </c>
      <c r="O1504" t="s">
        <v>5274</v>
      </c>
      <c r="P1504" t="s">
        <v>5275</v>
      </c>
      <c r="R1504" t="s">
        <v>5277</v>
      </c>
      <c r="S1504" t="s">
        <v>36</v>
      </c>
      <c r="T1504" t="str">
        <f t="shared" si="261"/>
        <v>86314</v>
      </c>
      <c r="U1504" t="str">
        <f>""</f>
        <v/>
      </c>
      <c r="V1504" t="s">
        <v>5284</v>
      </c>
      <c r="X1504" t="s">
        <v>5277</v>
      </c>
      <c r="Y1504" t="s">
        <v>36</v>
      </c>
      <c r="Z1504" t="str">
        <f>"86314"</f>
        <v>86314</v>
      </c>
      <c r="AA1504" t="str">
        <f>""</f>
        <v/>
      </c>
      <c r="AB1504" t="s">
        <v>86</v>
      </c>
    </row>
    <row r="1505" spans="1:28" x14ac:dyDescent="0.25">
      <c r="A1505">
        <v>4469</v>
      </c>
      <c r="B1505" t="str">
        <f t="shared" si="259"/>
        <v>130222000</v>
      </c>
      <c r="C1505" t="s">
        <v>5271</v>
      </c>
      <c r="D1505">
        <v>6093</v>
      </c>
      <c r="E1505" t="str">
        <f>"130222131"</f>
        <v>130222131</v>
      </c>
      <c r="F1505" t="s">
        <v>5285</v>
      </c>
      <c r="G1505" t="s">
        <v>42</v>
      </c>
      <c r="H1505" t="s">
        <v>5272</v>
      </c>
      <c r="I1505" t="s">
        <v>5273</v>
      </c>
      <c r="J1505" t="s">
        <v>1935</v>
      </c>
      <c r="K1505" t="str">
        <f t="shared" si="260"/>
        <v>9287595012</v>
      </c>
      <c r="L1505" t="str">
        <f>""</f>
        <v/>
      </c>
      <c r="M1505" t="str">
        <f t="shared" si="262"/>
        <v>9287595025</v>
      </c>
      <c r="N1505" t="str">
        <f>""</f>
        <v/>
      </c>
      <c r="O1505" t="s">
        <v>5274</v>
      </c>
      <c r="P1505" t="s">
        <v>5275</v>
      </c>
      <c r="R1505" t="s">
        <v>5277</v>
      </c>
      <c r="S1505" t="s">
        <v>36</v>
      </c>
      <c r="T1505" t="str">
        <f t="shared" si="261"/>
        <v>86314</v>
      </c>
      <c r="U1505" t="str">
        <f>""</f>
        <v/>
      </c>
      <c r="V1505" t="s">
        <v>5286</v>
      </c>
      <c r="X1505" t="s">
        <v>5287</v>
      </c>
      <c r="Y1505" t="s">
        <v>36</v>
      </c>
      <c r="Z1505" t="str">
        <f>"86329"</f>
        <v>86329</v>
      </c>
      <c r="AA1505" t="str">
        <f>""</f>
        <v/>
      </c>
      <c r="AB1505" t="s">
        <v>86</v>
      </c>
    </row>
    <row r="1506" spans="1:28" x14ac:dyDescent="0.25">
      <c r="A1506">
        <v>4469</v>
      </c>
      <c r="B1506" t="str">
        <f t="shared" si="259"/>
        <v>130222000</v>
      </c>
      <c r="C1506" t="s">
        <v>5271</v>
      </c>
      <c r="D1506">
        <v>6094</v>
      </c>
      <c r="E1506" t="str">
        <f>"130222132"</f>
        <v>130222132</v>
      </c>
      <c r="F1506" t="s">
        <v>2517</v>
      </c>
      <c r="G1506" t="s">
        <v>42</v>
      </c>
      <c r="H1506" t="s">
        <v>5272</v>
      </c>
      <c r="I1506" t="s">
        <v>5273</v>
      </c>
      <c r="J1506" t="s">
        <v>1935</v>
      </c>
      <c r="K1506" t="str">
        <f t="shared" si="260"/>
        <v>9287595012</v>
      </c>
      <c r="L1506" t="str">
        <f>""</f>
        <v/>
      </c>
      <c r="M1506" t="str">
        <f t="shared" si="262"/>
        <v>9287595025</v>
      </c>
      <c r="N1506" t="str">
        <f>""</f>
        <v/>
      </c>
      <c r="O1506" t="s">
        <v>5274</v>
      </c>
      <c r="P1506" t="s">
        <v>5275</v>
      </c>
      <c r="R1506" t="s">
        <v>5277</v>
      </c>
      <c r="S1506" t="s">
        <v>36</v>
      </c>
      <c r="T1506" t="str">
        <f t="shared" si="261"/>
        <v>86314</v>
      </c>
      <c r="U1506" t="str">
        <f>""</f>
        <v/>
      </c>
      <c r="V1506" t="s">
        <v>5288</v>
      </c>
      <c r="X1506" t="s">
        <v>5277</v>
      </c>
      <c r="Y1506" t="s">
        <v>36</v>
      </c>
      <c r="Z1506" t="str">
        <f>"86314"</f>
        <v>86314</v>
      </c>
      <c r="AA1506" t="str">
        <f>""</f>
        <v/>
      </c>
      <c r="AB1506" t="s">
        <v>86</v>
      </c>
    </row>
    <row r="1507" spans="1:28" x14ac:dyDescent="0.25">
      <c r="A1507">
        <v>4469</v>
      </c>
      <c r="B1507" t="str">
        <f t="shared" si="259"/>
        <v>130222000</v>
      </c>
      <c r="C1507" t="s">
        <v>5271</v>
      </c>
      <c r="D1507">
        <v>6095</v>
      </c>
      <c r="E1507" t="str">
        <f>"130222133"</f>
        <v>130222133</v>
      </c>
      <c r="F1507" t="s">
        <v>5289</v>
      </c>
      <c r="G1507" t="s">
        <v>42</v>
      </c>
      <c r="H1507" t="s">
        <v>5272</v>
      </c>
      <c r="I1507" t="s">
        <v>5273</v>
      </c>
      <c r="J1507" t="s">
        <v>1935</v>
      </c>
      <c r="K1507" t="str">
        <f t="shared" si="260"/>
        <v>9287595012</v>
      </c>
      <c r="L1507" t="str">
        <f>""</f>
        <v/>
      </c>
      <c r="M1507" t="str">
        <f t="shared" si="262"/>
        <v>9287595025</v>
      </c>
      <c r="N1507" t="str">
        <f>""</f>
        <v/>
      </c>
      <c r="O1507" t="s">
        <v>5274</v>
      </c>
      <c r="P1507" t="s">
        <v>5275</v>
      </c>
      <c r="R1507" t="s">
        <v>5277</v>
      </c>
      <c r="S1507" t="s">
        <v>36</v>
      </c>
      <c r="T1507" t="str">
        <f t="shared" si="261"/>
        <v>86314</v>
      </c>
      <c r="U1507" t="str">
        <f>""</f>
        <v/>
      </c>
      <c r="V1507" t="s">
        <v>5290</v>
      </c>
      <c r="X1507" t="s">
        <v>5277</v>
      </c>
      <c r="Y1507" t="s">
        <v>36</v>
      </c>
      <c r="Z1507" t="str">
        <f>"86314"</f>
        <v>86314</v>
      </c>
      <c r="AA1507" t="str">
        <f>""</f>
        <v/>
      </c>
      <c r="AB1507" t="s">
        <v>86</v>
      </c>
    </row>
    <row r="1508" spans="1:28" x14ac:dyDescent="0.25">
      <c r="A1508">
        <v>4469</v>
      </c>
      <c r="B1508" t="str">
        <f t="shared" si="259"/>
        <v>130222000</v>
      </c>
      <c r="C1508" t="s">
        <v>5271</v>
      </c>
      <c r="D1508">
        <v>6096</v>
      </c>
      <c r="E1508" t="str">
        <f>"130222134"</f>
        <v>130222134</v>
      </c>
      <c r="F1508" t="s">
        <v>5291</v>
      </c>
      <c r="G1508" t="s">
        <v>42</v>
      </c>
      <c r="H1508" t="s">
        <v>5272</v>
      </c>
      <c r="I1508" t="s">
        <v>5273</v>
      </c>
      <c r="J1508" t="s">
        <v>1935</v>
      </c>
      <c r="K1508" t="str">
        <f t="shared" si="260"/>
        <v>9287595012</v>
      </c>
      <c r="L1508" t="str">
        <f>""</f>
        <v/>
      </c>
      <c r="M1508" t="str">
        <f t="shared" si="262"/>
        <v>9287595025</v>
      </c>
      <c r="N1508" t="str">
        <f>""</f>
        <v/>
      </c>
      <c r="O1508" t="s">
        <v>5274</v>
      </c>
      <c r="P1508" t="s">
        <v>5275</v>
      </c>
      <c r="R1508" t="s">
        <v>5277</v>
      </c>
      <c r="S1508" t="s">
        <v>36</v>
      </c>
      <c r="T1508" t="str">
        <f t="shared" si="261"/>
        <v>86314</v>
      </c>
      <c r="U1508" t="str">
        <f>""</f>
        <v/>
      </c>
      <c r="V1508" t="s">
        <v>5292</v>
      </c>
      <c r="X1508" t="s">
        <v>5277</v>
      </c>
      <c r="Y1508" t="s">
        <v>36</v>
      </c>
      <c r="Z1508" t="str">
        <f>"86314"</f>
        <v>86314</v>
      </c>
      <c r="AA1508" t="str">
        <f>""</f>
        <v/>
      </c>
      <c r="AB1508" t="s">
        <v>86</v>
      </c>
    </row>
    <row r="1509" spans="1:28" x14ac:dyDescent="0.25">
      <c r="A1509">
        <v>4469</v>
      </c>
      <c r="B1509" t="str">
        <f t="shared" si="259"/>
        <v>130222000</v>
      </c>
      <c r="C1509" t="s">
        <v>5271</v>
      </c>
      <c r="D1509">
        <v>6097</v>
      </c>
      <c r="E1509" t="str">
        <f>"130222230"</f>
        <v>130222230</v>
      </c>
      <c r="F1509" t="s">
        <v>5293</v>
      </c>
      <c r="G1509" t="s">
        <v>42</v>
      </c>
      <c r="H1509" t="s">
        <v>5272</v>
      </c>
      <c r="I1509" t="s">
        <v>5273</v>
      </c>
      <c r="J1509" t="s">
        <v>1935</v>
      </c>
      <c r="K1509" t="str">
        <f t="shared" si="260"/>
        <v>9287595012</v>
      </c>
      <c r="L1509" t="str">
        <f>""</f>
        <v/>
      </c>
      <c r="M1509" t="str">
        <f t="shared" si="262"/>
        <v>9287595025</v>
      </c>
      <c r="N1509" t="str">
        <f>""</f>
        <v/>
      </c>
      <c r="O1509" t="s">
        <v>5274</v>
      </c>
      <c r="P1509" t="s">
        <v>5294</v>
      </c>
      <c r="R1509" t="s">
        <v>5277</v>
      </c>
      <c r="S1509" t="s">
        <v>36</v>
      </c>
      <c r="T1509" t="str">
        <f t="shared" si="261"/>
        <v>86314</v>
      </c>
      <c r="U1509" t="str">
        <f>""</f>
        <v/>
      </c>
      <c r="V1509" t="s">
        <v>5294</v>
      </c>
      <c r="X1509" t="s">
        <v>5277</v>
      </c>
      <c r="Y1509" t="s">
        <v>36</v>
      </c>
      <c r="Z1509" t="str">
        <f>"86314"</f>
        <v>86314</v>
      </c>
      <c r="AA1509" t="str">
        <f>""</f>
        <v/>
      </c>
      <c r="AB1509" t="s">
        <v>86</v>
      </c>
    </row>
    <row r="1510" spans="1:28" x14ac:dyDescent="0.25">
      <c r="A1510">
        <v>4469</v>
      </c>
      <c r="B1510" t="str">
        <f t="shared" si="259"/>
        <v>130222000</v>
      </c>
      <c r="C1510" t="s">
        <v>5271</v>
      </c>
      <c r="D1510">
        <v>87535</v>
      </c>
      <c r="E1510" t="str">
        <f>"130222135"</f>
        <v>130222135</v>
      </c>
      <c r="F1510" t="s">
        <v>5295</v>
      </c>
      <c r="G1510" t="s">
        <v>42</v>
      </c>
      <c r="H1510" t="s">
        <v>5272</v>
      </c>
      <c r="I1510" t="s">
        <v>5273</v>
      </c>
      <c r="J1510" t="s">
        <v>1935</v>
      </c>
      <c r="K1510" t="str">
        <f t="shared" si="260"/>
        <v>9287595012</v>
      </c>
      <c r="L1510" t="str">
        <f>""</f>
        <v/>
      </c>
      <c r="M1510" t="str">
        <f t="shared" si="262"/>
        <v>9287595025</v>
      </c>
      <c r="N1510" t="str">
        <f>""</f>
        <v/>
      </c>
      <c r="O1510" t="s">
        <v>5274</v>
      </c>
      <c r="P1510" t="s">
        <v>5275</v>
      </c>
      <c r="R1510" t="s">
        <v>5277</v>
      </c>
      <c r="S1510" t="s">
        <v>36</v>
      </c>
      <c r="T1510" t="str">
        <f t="shared" si="261"/>
        <v>86314</v>
      </c>
      <c r="U1510" t="str">
        <f>""</f>
        <v/>
      </c>
      <c r="V1510" t="s">
        <v>5296</v>
      </c>
      <c r="X1510" t="s">
        <v>5277</v>
      </c>
      <c r="Y1510" t="s">
        <v>36</v>
      </c>
      <c r="Z1510" t="str">
        <f>"86314"</f>
        <v>86314</v>
      </c>
      <c r="AA1510" t="str">
        <f>""</f>
        <v/>
      </c>
      <c r="AB1510" t="s">
        <v>86</v>
      </c>
    </row>
    <row r="1511" spans="1:28" x14ac:dyDescent="0.25">
      <c r="A1511">
        <v>4470</v>
      </c>
      <c r="B1511" t="str">
        <f t="shared" ref="B1511:B1516" si="263">"130228000"</f>
        <v>130228000</v>
      </c>
      <c r="C1511" t="s">
        <v>5297</v>
      </c>
      <c r="D1511">
        <v>0</v>
      </c>
      <c r="E1511" t="str">
        <f>""</f>
        <v/>
      </c>
      <c r="G1511" t="s">
        <v>29</v>
      </c>
      <c r="H1511" t="s">
        <v>5298</v>
      </c>
      <c r="I1511" t="s">
        <v>5299</v>
      </c>
      <c r="J1511" t="s">
        <v>3831</v>
      </c>
      <c r="K1511" t="str">
        <f>"9285678075"</f>
        <v>9285678075</v>
      </c>
      <c r="L1511" t="str">
        <f>""</f>
        <v/>
      </c>
      <c r="M1511" t="str">
        <f>""</f>
        <v/>
      </c>
      <c r="N1511" t="str">
        <f>""</f>
        <v/>
      </c>
      <c r="O1511" t="s">
        <v>5300</v>
      </c>
      <c r="P1511" t="s">
        <v>5301</v>
      </c>
      <c r="R1511" t="s">
        <v>5302</v>
      </c>
      <c r="S1511" t="s">
        <v>36</v>
      </c>
      <c r="T1511" t="str">
        <f t="shared" ref="T1511:T1516" si="264">"86322"</f>
        <v>86322</v>
      </c>
      <c r="U1511" t="str">
        <f>""</f>
        <v/>
      </c>
      <c r="V1511" t="s">
        <v>5301</v>
      </c>
      <c r="X1511" t="s">
        <v>5302</v>
      </c>
      <c r="Y1511" t="s">
        <v>36</v>
      </c>
      <c r="Z1511" t="str">
        <f t="shared" ref="Z1511:Z1516" si="265">"86322"</f>
        <v>86322</v>
      </c>
      <c r="AA1511" t="str">
        <f>""</f>
        <v/>
      </c>
      <c r="AB1511" t="s">
        <v>282</v>
      </c>
    </row>
    <row r="1512" spans="1:28" x14ac:dyDescent="0.25">
      <c r="A1512">
        <v>4470</v>
      </c>
      <c r="B1512" t="str">
        <f t="shared" si="263"/>
        <v>130228000</v>
      </c>
      <c r="C1512" t="s">
        <v>5297</v>
      </c>
      <c r="D1512">
        <v>6098</v>
      </c>
      <c r="E1512" t="str">
        <f>"130228101"</f>
        <v>130228101</v>
      </c>
      <c r="F1512" t="s">
        <v>5303</v>
      </c>
      <c r="G1512" t="s">
        <v>42</v>
      </c>
      <c r="H1512" t="s">
        <v>5304</v>
      </c>
      <c r="I1512" t="s">
        <v>785</v>
      </c>
      <c r="J1512" t="s">
        <v>195</v>
      </c>
      <c r="K1512" t="str">
        <f>"9285678025"</f>
        <v>9285678025</v>
      </c>
      <c r="L1512" t="str">
        <f>""</f>
        <v/>
      </c>
      <c r="M1512" t="str">
        <f>"9285678090"</f>
        <v>9285678090</v>
      </c>
      <c r="N1512" t="str">
        <f>""</f>
        <v/>
      </c>
      <c r="O1512" t="s">
        <v>5305</v>
      </c>
      <c r="P1512" t="s">
        <v>5301</v>
      </c>
      <c r="R1512" t="s">
        <v>5302</v>
      </c>
      <c r="S1512" t="s">
        <v>36</v>
      </c>
      <c r="T1512" t="str">
        <f t="shared" si="264"/>
        <v>86322</v>
      </c>
      <c r="U1512" t="str">
        <f>""</f>
        <v/>
      </c>
      <c r="V1512" t="s">
        <v>5301</v>
      </c>
      <c r="X1512" t="s">
        <v>5302</v>
      </c>
      <c r="Y1512" t="s">
        <v>36</v>
      </c>
      <c r="Z1512" t="str">
        <f t="shared" si="265"/>
        <v>86322</v>
      </c>
      <c r="AA1512" t="str">
        <f>""</f>
        <v/>
      </c>
      <c r="AB1512" t="s">
        <v>282</v>
      </c>
    </row>
    <row r="1513" spans="1:28" x14ac:dyDescent="0.25">
      <c r="A1513">
        <v>4470</v>
      </c>
      <c r="B1513" t="str">
        <f t="shared" si="263"/>
        <v>130228000</v>
      </c>
      <c r="C1513" t="s">
        <v>5297</v>
      </c>
      <c r="D1513">
        <v>6099</v>
      </c>
      <c r="E1513" t="str">
        <f>"130228102"</f>
        <v>130228102</v>
      </c>
      <c r="F1513" t="s">
        <v>5306</v>
      </c>
      <c r="G1513" t="s">
        <v>42</v>
      </c>
      <c r="H1513" t="s">
        <v>5304</v>
      </c>
      <c r="I1513" t="s">
        <v>785</v>
      </c>
      <c r="J1513" t="s">
        <v>195</v>
      </c>
      <c r="K1513" t="str">
        <f>"9285678025"</f>
        <v>9285678025</v>
      </c>
      <c r="L1513" t="str">
        <f>""</f>
        <v/>
      </c>
      <c r="M1513" t="str">
        <f>"9285678090"</f>
        <v>9285678090</v>
      </c>
      <c r="N1513" t="str">
        <f>""</f>
        <v/>
      </c>
      <c r="O1513" t="s">
        <v>5307</v>
      </c>
      <c r="P1513" t="s">
        <v>5301</v>
      </c>
      <c r="R1513" t="s">
        <v>5302</v>
      </c>
      <c r="S1513" t="s">
        <v>36</v>
      </c>
      <c r="T1513" t="str">
        <f t="shared" si="264"/>
        <v>86322</v>
      </c>
      <c r="U1513" t="str">
        <f>""</f>
        <v/>
      </c>
      <c r="V1513" t="s">
        <v>5301</v>
      </c>
      <c r="X1513" t="s">
        <v>5302</v>
      </c>
      <c r="Y1513" t="s">
        <v>36</v>
      </c>
      <c r="Z1513" t="str">
        <f t="shared" si="265"/>
        <v>86322</v>
      </c>
      <c r="AA1513" t="str">
        <f>""</f>
        <v/>
      </c>
      <c r="AB1513" t="s">
        <v>282</v>
      </c>
    </row>
    <row r="1514" spans="1:28" x14ac:dyDescent="0.25">
      <c r="A1514">
        <v>4470</v>
      </c>
      <c r="B1514" t="str">
        <f t="shared" si="263"/>
        <v>130228000</v>
      </c>
      <c r="C1514" t="s">
        <v>5297</v>
      </c>
      <c r="D1514">
        <v>6100</v>
      </c>
      <c r="E1514" t="str">
        <f>"130228203"</f>
        <v>130228203</v>
      </c>
      <c r="F1514" t="s">
        <v>5308</v>
      </c>
      <c r="G1514" t="s">
        <v>42</v>
      </c>
      <c r="H1514" t="s">
        <v>5304</v>
      </c>
      <c r="I1514" t="s">
        <v>785</v>
      </c>
      <c r="J1514" t="s">
        <v>195</v>
      </c>
      <c r="K1514" t="str">
        <f>"9285678025"</f>
        <v>9285678025</v>
      </c>
      <c r="L1514" t="str">
        <f>""</f>
        <v/>
      </c>
      <c r="M1514" t="str">
        <f>"9285978090"</f>
        <v>9285978090</v>
      </c>
      <c r="N1514" t="str">
        <f>""</f>
        <v/>
      </c>
      <c r="O1514" t="s">
        <v>5309</v>
      </c>
      <c r="P1514" t="s">
        <v>5310</v>
      </c>
      <c r="R1514" t="s">
        <v>5302</v>
      </c>
      <c r="S1514" t="s">
        <v>36</v>
      </c>
      <c r="T1514" t="str">
        <f t="shared" si="264"/>
        <v>86322</v>
      </c>
      <c r="U1514" t="str">
        <f>""</f>
        <v/>
      </c>
      <c r="V1514" t="s">
        <v>5301</v>
      </c>
      <c r="X1514" t="s">
        <v>5302</v>
      </c>
      <c r="Y1514" t="s">
        <v>36</v>
      </c>
      <c r="Z1514" t="str">
        <f t="shared" si="265"/>
        <v>86322</v>
      </c>
      <c r="AA1514" t="str">
        <f>""</f>
        <v/>
      </c>
      <c r="AB1514" t="s">
        <v>282</v>
      </c>
    </row>
    <row r="1515" spans="1:28" x14ac:dyDescent="0.25">
      <c r="A1515">
        <v>4470</v>
      </c>
      <c r="B1515" t="str">
        <f t="shared" si="263"/>
        <v>130228000</v>
      </c>
      <c r="C1515" t="s">
        <v>5297</v>
      </c>
      <c r="D1515">
        <v>84659</v>
      </c>
      <c r="E1515" t="str">
        <f>"130228304"</f>
        <v>130228304</v>
      </c>
      <c r="F1515" t="s">
        <v>5311</v>
      </c>
      <c r="G1515" t="s">
        <v>42</v>
      </c>
      <c r="H1515" t="s">
        <v>5304</v>
      </c>
      <c r="I1515" t="s">
        <v>785</v>
      </c>
      <c r="J1515" t="s">
        <v>195</v>
      </c>
      <c r="K1515" t="str">
        <f>"9285678025"</f>
        <v>9285678025</v>
      </c>
      <c r="L1515" t="str">
        <f>""</f>
        <v/>
      </c>
      <c r="M1515" t="str">
        <f>"9285678090"</f>
        <v>9285678090</v>
      </c>
      <c r="N1515" t="str">
        <f>""</f>
        <v/>
      </c>
      <c r="O1515" t="s">
        <v>5305</v>
      </c>
      <c r="P1515" t="s">
        <v>5312</v>
      </c>
      <c r="R1515" t="s">
        <v>5302</v>
      </c>
      <c r="S1515" t="s">
        <v>36</v>
      </c>
      <c r="T1515" t="str">
        <f t="shared" si="264"/>
        <v>86322</v>
      </c>
      <c r="U1515" t="str">
        <f>""</f>
        <v/>
      </c>
      <c r="V1515" t="s">
        <v>5312</v>
      </c>
      <c r="X1515" t="s">
        <v>5302</v>
      </c>
      <c r="Y1515" t="s">
        <v>36</v>
      </c>
      <c r="Z1515" t="str">
        <f t="shared" si="265"/>
        <v>86322</v>
      </c>
      <c r="AA1515" t="str">
        <f>""</f>
        <v/>
      </c>
      <c r="AB1515" t="s">
        <v>282</v>
      </c>
    </row>
    <row r="1516" spans="1:28" x14ac:dyDescent="0.25">
      <c r="A1516">
        <v>4470</v>
      </c>
      <c r="B1516" t="str">
        <f t="shared" si="263"/>
        <v>130228000</v>
      </c>
      <c r="C1516" t="s">
        <v>5297</v>
      </c>
      <c r="D1516">
        <v>90137</v>
      </c>
      <c r="E1516" t="str">
        <f>"130228204"</f>
        <v>130228204</v>
      </c>
      <c r="F1516" t="s">
        <v>5313</v>
      </c>
      <c r="G1516" t="s">
        <v>42</v>
      </c>
      <c r="H1516" t="s">
        <v>5304</v>
      </c>
      <c r="I1516" t="s">
        <v>785</v>
      </c>
      <c r="J1516" t="s">
        <v>195</v>
      </c>
      <c r="K1516" t="str">
        <f>"9285678025"</f>
        <v>9285678025</v>
      </c>
      <c r="L1516" t="str">
        <f>""</f>
        <v/>
      </c>
      <c r="M1516" t="str">
        <f>"9285678090"</f>
        <v>9285678090</v>
      </c>
      <c r="N1516" t="str">
        <f>""</f>
        <v/>
      </c>
      <c r="O1516" t="s">
        <v>5305</v>
      </c>
      <c r="P1516" t="s">
        <v>5301</v>
      </c>
      <c r="R1516" t="s">
        <v>5302</v>
      </c>
      <c r="S1516" t="s">
        <v>36</v>
      </c>
      <c r="T1516" t="str">
        <f t="shared" si="264"/>
        <v>86322</v>
      </c>
      <c r="U1516" t="str">
        <f>""</f>
        <v/>
      </c>
      <c r="V1516" t="s">
        <v>5301</v>
      </c>
      <c r="X1516" t="s">
        <v>5302</v>
      </c>
      <c r="Y1516" t="s">
        <v>36</v>
      </c>
      <c r="Z1516" t="str">
        <f t="shared" si="265"/>
        <v>86322</v>
      </c>
      <c r="AA1516" t="str">
        <f>""</f>
        <v/>
      </c>
      <c r="AB1516" t="s">
        <v>282</v>
      </c>
    </row>
    <row r="1517" spans="1:28" x14ac:dyDescent="0.25">
      <c r="A1517">
        <v>4471</v>
      </c>
      <c r="B1517" t="str">
        <f>"130231000"</f>
        <v>130231000</v>
      </c>
      <c r="C1517" t="s">
        <v>5314</v>
      </c>
      <c r="D1517">
        <v>0</v>
      </c>
      <c r="E1517" t="str">
        <f>""</f>
        <v/>
      </c>
      <c r="G1517" t="s">
        <v>29</v>
      </c>
      <c r="H1517" t="s">
        <v>1318</v>
      </c>
      <c r="I1517" t="s">
        <v>5315</v>
      </c>
      <c r="J1517" t="s">
        <v>32</v>
      </c>
      <c r="K1517" t="str">
        <f>"9286372561"</f>
        <v>9286372561</v>
      </c>
      <c r="L1517" t="str">
        <f>""</f>
        <v/>
      </c>
      <c r="M1517" t="str">
        <f>"9286372623"</f>
        <v>9286372623</v>
      </c>
      <c r="N1517" t="str">
        <f>""</f>
        <v/>
      </c>
      <c r="O1517" t="s">
        <v>5316</v>
      </c>
      <c r="P1517" t="s">
        <v>618</v>
      </c>
      <c r="R1517" t="s">
        <v>5317</v>
      </c>
      <c r="S1517" t="s">
        <v>36</v>
      </c>
      <c r="T1517" t="str">
        <f>"86320"</f>
        <v>86320</v>
      </c>
      <c r="U1517" t="str">
        <f>"0247"</f>
        <v>0247</v>
      </c>
      <c r="V1517" t="s">
        <v>5318</v>
      </c>
      <c r="X1517" t="s">
        <v>5317</v>
      </c>
      <c r="Y1517" t="s">
        <v>36</v>
      </c>
      <c r="Z1517" t="str">
        <f>"86320"</f>
        <v>86320</v>
      </c>
      <c r="AA1517" t="str">
        <f>"0247"</f>
        <v>0247</v>
      </c>
      <c r="AB1517" t="s">
        <v>282</v>
      </c>
    </row>
    <row r="1518" spans="1:28" x14ac:dyDescent="0.25">
      <c r="A1518">
        <v>4471</v>
      </c>
      <c r="B1518" t="str">
        <f>"130231000"</f>
        <v>130231000</v>
      </c>
      <c r="C1518" t="s">
        <v>5314</v>
      </c>
      <c r="D1518">
        <v>6101</v>
      </c>
      <c r="E1518" t="str">
        <f>"130231101"</f>
        <v>130231101</v>
      </c>
      <c r="F1518" t="s">
        <v>5319</v>
      </c>
      <c r="G1518" t="s">
        <v>42</v>
      </c>
      <c r="H1518" t="s">
        <v>1318</v>
      </c>
      <c r="I1518" t="s">
        <v>5315</v>
      </c>
      <c r="J1518" t="s">
        <v>32</v>
      </c>
      <c r="K1518" t="str">
        <f>"9286372561"</f>
        <v>9286372561</v>
      </c>
      <c r="L1518" t="str">
        <f>""</f>
        <v/>
      </c>
      <c r="M1518" t="str">
        <f>"9286372623"</f>
        <v>9286372623</v>
      </c>
      <c r="N1518" t="str">
        <f>""</f>
        <v/>
      </c>
      <c r="O1518" t="s">
        <v>5316</v>
      </c>
      <c r="P1518" t="s">
        <v>618</v>
      </c>
      <c r="R1518" t="s">
        <v>5317</v>
      </c>
      <c r="S1518" t="s">
        <v>36</v>
      </c>
      <c r="T1518" t="str">
        <f>"86320"</f>
        <v>86320</v>
      </c>
      <c r="U1518" t="str">
        <f>"0247"</f>
        <v>0247</v>
      </c>
      <c r="V1518" t="s">
        <v>5318</v>
      </c>
      <c r="X1518" t="s">
        <v>5317</v>
      </c>
      <c r="Y1518" t="s">
        <v>36</v>
      </c>
      <c r="Z1518" t="str">
        <f>"86320"</f>
        <v>86320</v>
      </c>
      <c r="AA1518" t="str">
        <f>"0247"</f>
        <v>0247</v>
      </c>
      <c r="AB1518" t="s">
        <v>282</v>
      </c>
    </row>
    <row r="1519" spans="1:28" x14ac:dyDescent="0.25">
      <c r="A1519">
        <v>4471</v>
      </c>
      <c r="B1519" t="str">
        <f>"130231000"</f>
        <v>130231000</v>
      </c>
      <c r="C1519" t="s">
        <v>5314</v>
      </c>
      <c r="D1519">
        <v>6102</v>
      </c>
      <c r="E1519" t="str">
        <f>"130231102"</f>
        <v>130231102</v>
      </c>
      <c r="F1519" t="s">
        <v>5320</v>
      </c>
      <c r="G1519" t="s">
        <v>42</v>
      </c>
      <c r="H1519" t="s">
        <v>1318</v>
      </c>
      <c r="I1519" t="s">
        <v>5315</v>
      </c>
      <c r="J1519" t="s">
        <v>32</v>
      </c>
      <c r="K1519" t="str">
        <f>"9286372561"</f>
        <v>9286372561</v>
      </c>
      <c r="L1519" t="str">
        <f>""</f>
        <v/>
      </c>
      <c r="M1519" t="str">
        <f>"9286372623"</f>
        <v>9286372623</v>
      </c>
      <c r="N1519" t="str">
        <f>""</f>
        <v/>
      </c>
      <c r="O1519" t="s">
        <v>5316</v>
      </c>
      <c r="P1519" t="s">
        <v>5321</v>
      </c>
      <c r="R1519" t="s">
        <v>5317</v>
      </c>
      <c r="S1519" t="s">
        <v>36</v>
      </c>
      <c r="T1519" t="str">
        <f>"86320"</f>
        <v>86320</v>
      </c>
      <c r="U1519" t="str">
        <f>"0247"</f>
        <v>0247</v>
      </c>
      <c r="V1519" t="s">
        <v>5322</v>
      </c>
      <c r="X1519" t="s">
        <v>5317</v>
      </c>
      <c r="Y1519" t="s">
        <v>36</v>
      </c>
      <c r="Z1519" t="str">
        <f>"86320"</f>
        <v>86320</v>
      </c>
      <c r="AA1519" t="str">
        <f>"0247"</f>
        <v>0247</v>
      </c>
      <c r="AB1519" t="s">
        <v>282</v>
      </c>
    </row>
    <row r="1520" spans="1:28" x14ac:dyDescent="0.25">
      <c r="A1520">
        <v>4471</v>
      </c>
      <c r="B1520" t="str">
        <f>"130231000"</f>
        <v>130231000</v>
      </c>
      <c r="C1520" t="s">
        <v>5314</v>
      </c>
      <c r="D1520">
        <v>6103</v>
      </c>
      <c r="E1520" t="str">
        <f>"130231202"</f>
        <v>130231202</v>
      </c>
      <c r="F1520" t="s">
        <v>5323</v>
      </c>
      <c r="G1520" t="s">
        <v>42</v>
      </c>
      <c r="H1520" t="s">
        <v>1318</v>
      </c>
      <c r="I1520" t="s">
        <v>5315</v>
      </c>
      <c r="J1520" t="s">
        <v>32</v>
      </c>
      <c r="K1520" t="str">
        <f>"9286372561"</f>
        <v>9286372561</v>
      </c>
      <c r="L1520" t="str">
        <f>""</f>
        <v/>
      </c>
      <c r="M1520" t="str">
        <f>"9286372623"</f>
        <v>9286372623</v>
      </c>
      <c r="N1520" t="str">
        <f>""</f>
        <v/>
      </c>
      <c r="O1520" t="s">
        <v>5316</v>
      </c>
      <c r="P1520" t="s">
        <v>618</v>
      </c>
      <c r="R1520" t="s">
        <v>5317</v>
      </c>
      <c r="S1520" t="s">
        <v>36</v>
      </c>
      <c r="T1520" t="str">
        <f>"86320"</f>
        <v>86320</v>
      </c>
      <c r="U1520" t="str">
        <f>"0247"</f>
        <v>0247</v>
      </c>
      <c r="V1520" t="s">
        <v>5322</v>
      </c>
      <c r="X1520" t="s">
        <v>5317</v>
      </c>
      <c r="Y1520" t="s">
        <v>36</v>
      </c>
      <c r="Z1520" t="str">
        <f>"86323"</f>
        <v>86323</v>
      </c>
      <c r="AA1520" t="str">
        <f>"0247"</f>
        <v>0247</v>
      </c>
      <c r="AB1520" t="s">
        <v>282</v>
      </c>
    </row>
    <row r="1521" spans="1:28" x14ac:dyDescent="0.25">
      <c r="A1521">
        <v>4472</v>
      </c>
      <c r="B1521" t="str">
        <f>"130240000"</f>
        <v>130240000</v>
      </c>
      <c r="C1521" t="s">
        <v>5324</v>
      </c>
      <c r="D1521">
        <v>0</v>
      </c>
      <c r="E1521" t="str">
        <f>""</f>
        <v/>
      </c>
      <c r="G1521" t="s">
        <v>29</v>
      </c>
      <c r="H1521" t="s">
        <v>3815</v>
      </c>
      <c r="I1521" t="s">
        <v>3816</v>
      </c>
      <c r="J1521" t="s">
        <v>195</v>
      </c>
      <c r="K1521" t="str">
        <f>"9282164123"</f>
        <v>9282164123</v>
      </c>
      <c r="L1521" t="str">
        <f>"3001"</f>
        <v>3001</v>
      </c>
      <c r="M1521" t="str">
        <f>"9284223642"</f>
        <v>9284223642</v>
      </c>
      <c r="N1521" t="str">
        <f>""</f>
        <v/>
      </c>
      <c r="O1521" t="s">
        <v>5325</v>
      </c>
      <c r="P1521" t="s">
        <v>5326</v>
      </c>
      <c r="R1521" t="s">
        <v>5327</v>
      </c>
      <c r="S1521" t="s">
        <v>36</v>
      </c>
      <c r="T1521" t="str">
        <f>"86337"</f>
        <v>86337</v>
      </c>
      <c r="U1521" t="str">
        <f>"0650"</f>
        <v>0650</v>
      </c>
      <c r="V1521" t="s">
        <v>5328</v>
      </c>
      <c r="X1521" t="s">
        <v>5327</v>
      </c>
      <c r="Y1521" t="s">
        <v>36</v>
      </c>
      <c r="Z1521" t="str">
        <f>"86337"</f>
        <v>86337</v>
      </c>
      <c r="AA1521" t="str">
        <f>"0650"</f>
        <v>0650</v>
      </c>
      <c r="AB1521" t="s">
        <v>5107</v>
      </c>
    </row>
    <row r="1522" spans="1:28" x14ac:dyDescent="0.25">
      <c r="A1522">
        <v>4472</v>
      </c>
      <c r="B1522" t="str">
        <f>"130240000"</f>
        <v>130240000</v>
      </c>
      <c r="C1522" t="s">
        <v>5324</v>
      </c>
      <c r="D1522">
        <v>6104</v>
      </c>
      <c r="E1522" t="str">
        <f>"130240101"</f>
        <v>130240101</v>
      </c>
      <c r="F1522" t="s">
        <v>5329</v>
      </c>
      <c r="G1522" t="s">
        <v>42</v>
      </c>
      <c r="H1522" t="s">
        <v>5330</v>
      </c>
      <c r="I1522" t="s">
        <v>5331</v>
      </c>
      <c r="J1522" t="s">
        <v>5332</v>
      </c>
      <c r="K1522" t="str">
        <f>"9282164123"</f>
        <v>9282164123</v>
      </c>
      <c r="L1522" t="str">
        <f>"3000"</f>
        <v>3000</v>
      </c>
      <c r="M1522" t="str">
        <f>"9284223642"</f>
        <v>9284223642</v>
      </c>
      <c r="N1522" t="str">
        <f>""</f>
        <v/>
      </c>
      <c r="O1522" t="s">
        <v>5333</v>
      </c>
      <c r="P1522" t="s">
        <v>5326</v>
      </c>
      <c r="R1522" t="s">
        <v>5327</v>
      </c>
      <c r="S1522" t="s">
        <v>36</v>
      </c>
      <c r="T1522" t="str">
        <f>"86337"</f>
        <v>86337</v>
      </c>
      <c r="U1522" t="str">
        <f>"0650"</f>
        <v>0650</v>
      </c>
      <c r="V1522" t="s">
        <v>5334</v>
      </c>
      <c r="X1522" t="s">
        <v>5327</v>
      </c>
      <c r="Y1522" t="s">
        <v>36</v>
      </c>
      <c r="Z1522" t="str">
        <f>"86337"</f>
        <v>86337</v>
      </c>
      <c r="AA1522" t="str">
        <f>"0650"</f>
        <v>0650</v>
      </c>
      <c r="AB1522" t="s">
        <v>5107</v>
      </c>
    </row>
    <row r="1523" spans="1:28" x14ac:dyDescent="0.25">
      <c r="A1523">
        <v>4472</v>
      </c>
      <c r="B1523" t="str">
        <f>"130240000"</f>
        <v>130240000</v>
      </c>
      <c r="C1523" t="s">
        <v>5324</v>
      </c>
      <c r="D1523">
        <v>6105</v>
      </c>
      <c r="E1523" t="str">
        <f>"130240202"</f>
        <v>130240202</v>
      </c>
      <c r="F1523" t="s">
        <v>5335</v>
      </c>
      <c r="G1523" t="s">
        <v>42</v>
      </c>
      <c r="H1523" t="s">
        <v>5330</v>
      </c>
      <c r="I1523" t="s">
        <v>5331</v>
      </c>
      <c r="J1523" t="s">
        <v>5332</v>
      </c>
      <c r="K1523" t="str">
        <f>"9282164123"</f>
        <v>9282164123</v>
      </c>
      <c r="L1523" t="str">
        <f>"3000"</f>
        <v>3000</v>
      </c>
      <c r="M1523" t="str">
        <f>"9284223642"</f>
        <v>9284223642</v>
      </c>
      <c r="N1523" t="str">
        <f>""</f>
        <v/>
      </c>
      <c r="O1523" t="s">
        <v>5336</v>
      </c>
      <c r="P1523" t="s">
        <v>5326</v>
      </c>
      <c r="R1523" t="s">
        <v>5327</v>
      </c>
      <c r="S1523" t="s">
        <v>36</v>
      </c>
      <c r="T1523" t="str">
        <f>"86337"</f>
        <v>86337</v>
      </c>
      <c r="U1523" t="str">
        <f>"0650"</f>
        <v>0650</v>
      </c>
      <c r="V1523" t="s">
        <v>5328</v>
      </c>
      <c r="X1523" t="s">
        <v>5327</v>
      </c>
      <c r="Y1523" t="s">
        <v>36</v>
      </c>
      <c r="Z1523" t="str">
        <f>"86337"</f>
        <v>86337</v>
      </c>
      <c r="AA1523" t="str">
        <f>"0650"</f>
        <v>0650</v>
      </c>
      <c r="AB1523" t="s">
        <v>5107</v>
      </c>
    </row>
    <row r="1524" spans="1:28" x14ac:dyDescent="0.25">
      <c r="A1524">
        <v>4473</v>
      </c>
      <c r="B1524" t="str">
        <f>"130243000"</f>
        <v>130243000</v>
      </c>
      <c r="C1524" t="s">
        <v>5337</v>
      </c>
      <c r="D1524">
        <v>0</v>
      </c>
      <c r="E1524" t="str">
        <f>""</f>
        <v/>
      </c>
      <c r="G1524" t="s">
        <v>29</v>
      </c>
      <c r="H1524" t="s">
        <v>3824</v>
      </c>
      <c r="I1524" t="s">
        <v>443</v>
      </c>
      <c r="J1524" t="s">
        <v>32</v>
      </c>
      <c r="K1524" t="str">
        <f>"9286421234"</f>
        <v>9286421234</v>
      </c>
      <c r="L1524" t="str">
        <f>""</f>
        <v/>
      </c>
      <c r="M1524" t="str">
        <f>"9286325714"</f>
        <v>9286325714</v>
      </c>
      <c r="N1524" t="str">
        <f>""</f>
        <v/>
      </c>
      <c r="O1524" t="s">
        <v>5338</v>
      </c>
      <c r="P1524" t="s">
        <v>5339</v>
      </c>
      <c r="R1524" t="s">
        <v>5340</v>
      </c>
      <c r="S1524" t="s">
        <v>36</v>
      </c>
      <c r="T1524" t="str">
        <f>"86333"</f>
        <v>86333</v>
      </c>
      <c r="U1524" t="str">
        <f>"1059"</f>
        <v>1059</v>
      </c>
      <c r="V1524" t="s">
        <v>5341</v>
      </c>
      <c r="X1524" t="s">
        <v>5340</v>
      </c>
      <c r="Y1524" t="s">
        <v>36</v>
      </c>
      <c r="Z1524" t="str">
        <f>"86333"</f>
        <v>86333</v>
      </c>
      <c r="AA1524" t="str">
        <f>""</f>
        <v/>
      </c>
      <c r="AB1524" t="s">
        <v>282</v>
      </c>
    </row>
    <row r="1525" spans="1:28" x14ac:dyDescent="0.25">
      <c r="A1525">
        <v>4473</v>
      </c>
      <c r="B1525" t="str">
        <f>"130243000"</f>
        <v>130243000</v>
      </c>
      <c r="C1525" t="s">
        <v>5337</v>
      </c>
      <c r="D1525">
        <v>6106</v>
      </c>
      <c r="E1525" t="str">
        <f>"130243203"</f>
        <v>130243203</v>
      </c>
      <c r="F1525" t="s">
        <v>5342</v>
      </c>
      <c r="G1525" t="s">
        <v>42</v>
      </c>
      <c r="H1525" t="s">
        <v>3824</v>
      </c>
      <c r="I1525" t="s">
        <v>443</v>
      </c>
      <c r="J1525" t="s">
        <v>32</v>
      </c>
      <c r="K1525" t="str">
        <f>"9286421234"</f>
        <v>9286421234</v>
      </c>
      <c r="L1525" t="str">
        <f>""</f>
        <v/>
      </c>
      <c r="M1525" t="str">
        <f>"9286325714"</f>
        <v>9286325714</v>
      </c>
      <c r="N1525" t="str">
        <f>""</f>
        <v/>
      </c>
      <c r="O1525" t="s">
        <v>5343</v>
      </c>
      <c r="P1525" t="s">
        <v>5339</v>
      </c>
      <c r="R1525" t="s">
        <v>5340</v>
      </c>
      <c r="S1525" t="s">
        <v>36</v>
      </c>
      <c r="T1525" t="str">
        <f>"86333"</f>
        <v>86333</v>
      </c>
      <c r="U1525" t="str">
        <f>""</f>
        <v/>
      </c>
      <c r="V1525" t="s">
        <v>5344</v>
      </c>
      <c r="X1525" t="s">
        <v>5340</v>
      </c>
      <c r="Y1525" t="s">
        <v>36</v>
      </c>
      <c r="Z1525" t="str">
        <f>"86333"</f>
        <v>86333</v>
      </c>
      <c r="AA1525" t="str">
        <f>""</f>
        <v/>
      </c>
      <c r="AB1525" t="s">
        <v>282</v>
      </c>
    </row>
    <row r="1526" spans="1:28" x14ac:dyDescent="0.25">
      <c r="A1526">
        <v>4473</v>
      </c>
      <c r="B1526" t="str">
        <f>"130243000"</f>
        <v>130243000</v>
      </c>
      <c r="C1526" t="s">
        <v>5337</v>
      </c>
      <c r="D1526">
        <v>6107</v>
      </c>
      <c r="E1526" t="str">
        <f>"130243101"</f>
        <v>130243101</v>
      </c>
      <c r="F1526" t="s">
        <v>5345</v>
      </c>
      <c r="G1526" t="s">
        <v>42</v>
      </c>
      <c r="H1526" t="s">
        <v>3824</v>
      </c>
      <c r="I1526" t="s">
        <v>443</v>
      </c>
      <c r="J1526" t="s">
        <v>32</v>
      </c>
      <c r="K1526" t="str">
        <f>"9286421234"</f>
        <v>9286421234</v>
      </c>
      <c r="L1526" t="str">
        <f>""</f>
        <v/>
      </c>
      <c r="M1526" t="str">
        <f>"9286325714"</f>
        <v>9286325714</v>
      </c>
      <c r="N1526" t="str">
        <f>""</f>
        <v/>
      </c>
      <c r="O1526" t="s">
        <v>5343</v>
      </c>
      <c r="P1526" t="s">
        <v>5339</v>
      </c>
      <c r="R1526" t="s">
        <v>5340</v>
      </c>
      <c r="S1526" t="s">
        <v>36</v>
      </c>
      <c r="T1526" t="str">
        <f>"86333"</f>
        <v>86333</v>
      </c>
      <c r="U1526" t="str">
        <f>"1059"</f>
        <v>1059</v>
      </c>
      <c r="V1526" t="s">
        <v>5346</v>
      </c>
      <c r="X1526" t="s">
        <v>5340</v>
      </c>
      <c r="Y1526" t="s">
        <v>36</v>
      </c>
      <c r="Z1526" t="str">
        <f>"86333"</f>
        <v>86333</v>
      </c>
      <c r="AA1526" t="str">
        <f>""</f>
        <v/>
      </c>
      <c r="AB1526" t="s">
        <v>282</v>
      </c>
    </row>
    <row r="1527" spans="1:28" x14ac:dyDescent="0.25">
      <c r="A1527">
        <v>4474</v>
      </c>
      <c r="B1527" t="str">
        <f>"130251000"</f>
        <v>130251000</v>
      </c>
      <c r="C1527" t="s">
        <v>5347</v>
      </c>
      <c r="D1527">
        <v>0</v>
      </c>
      <c r="E1527" t="str">
        <f>""</f>
        <v/>
      </c>
      <c r="G1527" t="s">
        <v>29</v>
      </c>
      <c r="H1527" t="s">
        <v>5348</v>
      </c>
      <c r="I1527" t="s">
        <v>5349</v>
      </c>
      <c r="J1527" t="s">
        <v>5350</v>
      </c>
      <c r="K1527" t="str">
        <f>"9285835410"</f>
        <v>9285835410</v>
      </c>
      <c r="L1527" t="str">
        <f>""</f>
        <v/>
      </c>
      <c r="M1527" t="str">
        <f>"9286363897"</f>
        <v>9286363897</v>
      </c>
      <c r="N1527" t="str">
        <f>""</f>
        <v/>
      </c>
      <c r="O1527" t="s">
        <v>5351</v>
      </c>
      <c r="P1527" t="s">
        <v>5352</v>
      </c>
      <c r="R1527" t="s">
        <v>5353</v>
      </c>
      <c r="S1527" t="s">
        <v>36</v>
      </c>
      <c r="T1527" t="str">
        <f>"86323"</f>
        <v>86323</v>
      </c>
      <c r="U1527" t="str">
        <f>""</f>
        <v/>
      </c>
      <c r="V1527" t="s">
        <v>5352</v>
      </c>
      <c r="X1527" t="s">
        <v>5353</v>
      </c>
      <c r="Y1527" t="s">
        <v>36</v>
      </c>
      <c r="Z1527" t="str">
        <f>"86323"</f>
        <v>86323</v>
      </c>
      <c r="AA1527" t="str">
        <f>""</f>
        <v/>
      </c>
      <c r="AB1527" t="s">
        <v>1166</v>
      </c>
    </row>
    <row r="1528" spans="1:28" x14ac:dyDescent="0.25">
      <c r="A1528">
        <v>4474</v>
      </c>
      <c r="B1528" t="str">
        <f>"130251000"</f>
        <v>130251000</v>
      </c>
      <c r="C1528" t="s">
        <v>5347</v>
      </c>
      <c r="D1528">
        <v>6108</v>
      </c>
      <c r="E1528" t="str">
        <f>"130251101"</f>
        <v>130251101</v>
      </c>
      <c r="F1528" t="s">
        <v>5354</v>
      </c>
      <c r="G1528" t="s">
        <v>42</v>
      </c>
      <c r="H1528" t="s">
        <v>5355</v>
      </c>
      <c r="I1528" t="s">
        <v>5356</v>
      </c>
      <c r="J1528" t="s">
        <v>2665</v>
      </c>
      <c r="K1528" t="str">
        <f>"9285835409"</f>
        <v>9285835409</v>
      </c>
      <c r="L1528" t="str">
        <f>""</f>
        <v/>
      </c>
      <c r="M1528" t="str">
        <f>"9286363897"</f>
        <v>9286363897</v>
      </c>
      <c r="N1528" t="str">
        <f>""</f>
        <v/>
      </c>
      <c r="O1528" t="s">
        <v>5357</v>
      </c>
      <c r="P1528" t="s">
        <v>5358</v>
      </c>
      <c r="R1528" t="s">
        <v>5353</v>
      </c>
      <c r="S1528" t="s">
        <v>36</v>
      </c>
      <c r="T1528" t="str">
        <f>"86323"</f>
        <v>86323</v>
      </c>
      <c r="U1528" t="str">
        <f>""</f>
        <v/>
      </c>
      <c r="V1528" t="s">
        <v>5359</v>
      </c>
      <c r="X1528" t="s">
        <v>5353</v>
      </c>
      <c r="Y1528" t="s">
        <v>36</v>
      </c>
      <c r="Z1528" t="str">
        <f>"86323"</f>
        <v>86323</v>
      </c>
      <c r="AA1528" t="str">
        <f>""</f>
        <v/>
      </c>
      <c r="AB1528" t="s">
        <v>1166</v>
      </c>
    </row>
    <row r="1529" spans="1:28" x14ac:dyDescent="0.25">
      <c r="A1529">
        <v>4474</v>
      </c>
      <c r="B1529" t="str">
        <f>"130251000"</f>
        <v>130251000</v>
      </c>
      <c r="C1529" t="s">
        <v>5347</v>
      </c>
      <c r="D1529">
        <v>6109</v>
      </c>
      <c r="E1529" t="str">
        <f>"130251102"</f>
        <v>130251102</v>
      </c>
      <c r="F1529" t="s">
        <v>5360</v>
      </c>
      <c r="G1529" t="s">
        <v>42</v>
      </c>
      <c r="H1529" t="s">
        <v>5355</v>
      </c>
      <c r="I1529" t="s">
        <v>5356</v>
      </c>
      <c r="J1529" t="s">
        <v>2665</v>
      </c>
      <c r="K1529" t="str">
        <f>"9285835409"</f>
        <v>9285835409</v>
      </c>
      <c r="L1529" t="str">
        <f>""</f>
        <v/>
      </c>
      <c r="M1529" t="str">
        <f>"9286363897"</f>
        <v>9286363897</v>
      </c>
      <c r="N1529" t="str">
        <f>""</f>
        <v/>
      </c>
      <c r="O1529" t="s">
        <v>5357</v>
      </c>
      <c r="P1529" t="s">
        <v>5352</v>
      </c>
      <c r="R1529" t="s">
        <v>5353</v>
      </c>
      <c r="S1529" t="s">
        <v>36</v>
      </c>
      <c r="T1529" t="str">
        <f>"86323"</f>
        <v>86323</v>
      </c>
      <c r="U1529" t="str">
        <f>""</f>
        <v/>
      </c>
      <c r="V1529" t="s">
        <v>5361</v>
      </c>
      <c r="X1529" t="s">
        <v>5353</v>
      </c>
      <c r="Y1529" t="s">
        <v>36</v>
      </c>
      <c r="Z1529" t="str">
        <f>"86323"</f>
        <v>86323</v>
      </c>
      <c r="AA1529" t="str">
        <f>""</f>
        <v/>
      </c>
      <c r="AB1529" t="s">
        <v>1166</v>
      </c>
    </row>
    <row r="1530" spans="1:28" x14ac:dyDescent="0.25">
      <c r="A1530">
        <v>4474</v>
      </c>
      <c r="B1530" t="str">
        <f>"130251000"</f>
        <v>130251000</v>
      </c>
      <c r="C1530" t="s">
        <v>5347</v>
      </c>
      <c r="D1530">
        <v>6110</v>
      </c>
      <c r="E1530" t="str">
        <f>"130251203"</f>
        <v>130251203</v>
      </c>
      <c r="F1530" t="s">
        <v>5362</v>
      </c>
      <c r="G1530" t="s">
        <v>42</v>
      </c>
      <c r="H1530" t="s">
        <v>5355</v>
      </c>
      <c r="I1530" t="s">
        <v>5356</v>
      </c>
      <c r="J1530" t="s">
        <v>2665</v>
      </c>
      <c r="K1530" t="str">
        <f>"9285835409"</f>
        <v>9285835409</v>
      </c>
      <c r="L1530" t="str">
        <f>""</f>
        <v/>
      </c>
      <c r="M1530" t="str">
        <f>"9286363897"</f>
        <v>9286363897</v>
      </c>
      <c r="N1530" t="str">
        <f>""</f>
        <v/>
      </c>
      <c r="O1530" t="s">
        <v>5357</v>
      </c>
      <c r="P1530" t="s">
        <v>5363</v>
      </c>
      <c r="R1530" t="s">
        <v>5353</v>
      </c>
      <c r="S1530" t="s">
        <v>36</v>
      </c>
      <c r="T1530" t="str">
        <f>"86323"</f>
        <v>86323</v>
      </c>
      <c r="U1530" t="str">
        <f>""</f>
        <v/>
      </c>
      <c r="V1530" t="s">
        <v>5364</v>
      </c>
      <c r="X1530" t="s">
        <v>5353</v>
      </c>
      <c r="Y1530" t="s">
        <v>36</v>
      </c>
      <c r="Z1530" t="str">
        <f>"86323"</f>
        <v>86323</v>
      </c>
      <c r="AA1530" t="str">
        <f>""</f>
        <v/>
      </c>
      <c r="AB1530" t="s">
        <v>1166</v>
      </c>
    </row>
    <row r="1531" spans="1:28" x14ac:dyDescent="0.25">
      <c r="A1531">
        <v>4474</v>
      </c>
      <c r="B1531" t="str">
        <f>"130251000"</f>
        <v>130251000</v>
      </c>
      <c r="C1531" t="s">
        <v>5347</v>
      </c>
      <c r="D1531">
        <v>78928</v>
      </c>
      <c r="E1531" t="str">
        <f>"130251103"</f>
        <v>130251103</v>
      </c>
      <c r="F1531" t="s">
        <v>5365</v>
      </c>
      <c r="G1531" t="s">
        <v>42</v>
      </c>
      <c r="H1531" t="s">
        <v>5355</v>
      </c>
      <c r="I1531" t="s">
        <v>5356</v>
      </c>
      <c r="J1531" t="s">
        <v>2665</v>
      </c>
      <c r="K1531" t="str">
        <f>"9285835409"</f>
        <v>9285835409</v>
      </c>
      <c r="L1531" t="str">
        <f>""</f>
        <v/>
      </c>
      <c r="M1531" t="str">
        <f>"9286363897"</f>
        <v>9286363897</v>
      </c>
      <c r="N1531" t="str">
        <f>""</f>
        <v/>
      </c>
      <c r="O1531" t="s">
        <v>5357</v>
      </c>
      <c r="P1531" t="s">
        <v>5366</v>
      </c>
      <c r="R1531" t="s">
        <v>5353</v>
      </c>
      <c r="S1531" t="s">
        <v>36</v>
      </c>
      <c r="T1531" t="str">
        <f>"86323"</f>
        <v>86323</v>
      </c>
      <c r="U1531" t="str">
        <f>""</f>
        <v/>
      </c>
      <c r="V1531" t="s">
        <v>5367</v>
      </c>
      <c r="X1531" t="s">
        <v>5353</v>
      </c>
      <c r="Y1531" t="s">
        <v>36</v>
      </c>
      <c r="Z1531" t="str">
        <f>"86323"</f>
        <v>86323</v>
      </c>
      <c r="AA1531" t="str">
        <f>""</f>
        <v/>
      </c>
      <c r="AB1531" t="s">
        <v>1166</v>
      </c>
    </row>
    <row r="1532" spans="1:28" x14ac:dyDescent="0.25">
      <c r="A1532">
        <v>4478</v>
      </c>
      <c r="B1532" t="str">
        <f>"130315000"</f>
        <v>130315000</v>
      </c>
      <c r="C1532" t="s">
        <v>5368</v>
      </c>
      <c r="D1532">
        <v>0</v>
      </c>
      <c r="E1532" t="str">
        <f>""</f>
        <v/>
      </c>
      <c r="G1532" t="s">
        <v>29</v>
      </c>
      <c r="H1532" t="s">
        <v>3624</v>
      </c>
      <c r="I1532" t="s">
        <v>5369</v>
      </c>
      <c r="J1532" t="s">
        <v>32</v>
      </c>
      <c r="K1532" t="str">
        <f>"9284423322"</f>
        <v>9284423322</v>
      </c>
      <c r="L1532" t="str">
        <f>""</f>
        <v/>
      </c>
      <c r="M1532" t="str">
        <f>"9284429198"</f>
        <v>9284429198</v>
      </c>
      <c r="N1532" t="str">
        <f>""</f>
        <v/>
      </c>
      <c r="O1532" t="s">
        <v>5370</v>
      </c>
      <c r="P1532" t="s">
        <v>5371</v>
      </c>
      <c r="R1532" t="s">
        <v>5372</v>
      </c>
      <c r="S1532" t="s">
        <v>36</v>
      </c>
      <c r="T1532" t="str">
        <f>"86338"</f>
        <v>86338</v>
      </c>
      <c r="U1532" t="str">
        <f>"0025"</f>
        <v>0025</v>
      </c>
      <c r="V1532" t="s">
        <v>5373</v>
      </c>
      <c r="X1532" t="s">
        <v>5372</v>
      </c>
      <c r="Y1532" t="s">
        <v>36</v>
      </c>
      <c r="Z1532" t="str">
        <f>"86338"</f>
        <v>86338</v>
      </c>
      <c r="AA1532" t="str">
        <f>"0025"</f>
        <v>0025</v>
      </c>
      <c r="AB1532" t="s">
        <v>508</v>
      </c>
    </row>
    <row r="1533" spans="1:28" x14ac:dyDescent="0.25">
      <c r="A1533">
        <v>4478</v>
      </c>
      <c r="B1533" t="str">
        <f>"130315000"</f>
        <v>130315000</v>
      </c>
      <c r="C1533" t="s">
        <v>5368</v>
      </c>
      <c r="D1533">
        <v>6113</v>
      </c>
      <c r="E1533" t="str">
        <f>"130315101"</f>
        <v>130315101</v>
      </c>
      <c r="F1533" t="s">
        <v>5374</v>
      </c>
      <c r="G1533" t="s">
        <v>42</v>
      </c>
      <c r="H1533" t="s">
        <v>3624</v>
      </c>
      <c r="I1533" t="s">
        <v>5369</v>
      </c>
      <c r="J1533" t="s">
        <v>32</v>
      </c>
      <c r="K1533" t="str">
        <f>"9284423322"</f>
        <v>9284423322</v>
      </c>
      <c r="L1533" t="str">
        <f>""</f>
        <v/>
      </c>
      <c r="M1533" t="str">
        <f>"9284429198"</f>
        <v>9284429198</v>
      </c>
      <c r="N1533" t="str">
        <f>""</f>
        <v/>
      </c>
      <c r="O1533" t="s">
        <v>5370</v>
      </c>
      <c r="P1533" t="s">
        <v>5371</v>
      </c>
      <c r="R1533" t="s">
        <v>5372</v>
      </c>
      <c r="S1533" t="s">
        <v>36</v>
      </c>
      <c r="T1533" t="str">
        <f>"86338"</f>
        <v>86338</v>
      </c>
      <c r="U1533" t="str">
        <f>"0025"</f>
        <v>0025</v>
      </c>
      <c r="V1533" t="s">
        <v>5375</v>
      </c>
      <c r="X1533" t="s">
        <v>5372</v>
      </c>
      <c r="Y1533" t="s">
        <v>36</v>
      </c>
      <c r="Z1533" t="str">
        <f>"86338"</f>
        <v>86338</v>
      </c>
      <c r="AA1533" t="str">
        <f>""</f>
        <v/>
      </c>
      <c r="AB1533" t="s">
        <v>508</v>
      </c>
    </row>
    <row r="1534" spans="1:28" x14ac:dyDescent="0.25">
      <c r="A1534">
        <v>4479</v>
      </c>
      <c r="B1534" t="str">
        <f>"130317000"</f>
        <v>130317000</v>
      </c>
      <c r="C1534" t="s">
        <v>5376</v>
      </c>
      <c r="D1534">
        <v>0</v>
      </c>
      <c r="E1534" t="str">
        <f>""</f>
        <v/>
      </c>
      <c r="G1534" t="s">
        <v>29</v>
      </c>
      <c r="H1534" t="s">
        <v>1691</v>
      </c>
      <c r="I1534" t="s">
        <v>3263</v>
      </c>
      <c r="J1534" t="s">
        <v>493</v>
      </c>
      <c r="K1534" t="str">
        <f>"9284279850"</f>
        <v>9284279850</v>
      </c>
      <c r="L1534" t="str">
        <f>""</f>
        <v/>
      </c>
      <c r="M1534" t="str">
        <f>""</f>
        <v/>
      </c>
      <c r="N1534" t="str">
        <f>""</f>
        <v/>
      </c>
      <c r="O1534" t="s">
        <v>5377</v>
      </c>
      <c r="P1534" t="s">
        <v>5378</v>
      </c>
      <c r="R1534" t="s">
        <v>5379</v>
      </c>
      <c r="S1534" t="s">
        <v>36</v>
      </c>
      <c r="T1534" t="str">
        <f>"85332"</f>
        <v>85332</v>
      </c>
      <c r="U1534" t="str">
        <f>""</f>
        <v/>
      </c>
      <c r="V1534" t="s">
        <v>5380</v>
      </c>
      <c r="X1534" t="s">
        <v>5379</v>
      </c>
      <c r="Y1534" t="s">
        <v>36</v>
      </c>
      <c r="Z1534" t="str">
        <f>"85332"</f>
        <v>85332</v>
      </c>
      <c r="AA1534" t="str">
        <f>""</f>
        <v/>
      </c>
      <c r="AB1534" t="s">
        <v>2345</v>
      </c>
    </row>
    <row r="1535" spans="1:28" x14ac:dyDescent="0.25">
      <c r="A1535">
        <v>4479</v>
      </c>
      <c r="B1535" t="str">
        <f>"130317000"</f>
        <v>130317000</v>
      </c>
      <c r="C1535" t="s">
        <v>5376</v>
      </c>
      <c r="D1535">
        <v>6114</v>
      </c>
      <c r="E1535" t="str">
        <f>"130317001"</f>
        <v>130317001</v>
      </c>
      <c r="F1535" t="s">
        <v>5381</v>
      </c>
      <c r="G1535" t="s">
        <v>42</v>
      </c>
      <c r="H1535" t="s">
        <v>1691</v>
      </c>
      <c r="I1535" t="s">
        <v>3263</v>
      </c>
      <c r="J1535" t="s">
        <v>3831</v>
      </c>
      <c r="K1535" t="str">
        <f>"9284279850"</f>
        <v>9284279850</v>
      </c>
      <c r="L1535" t="str">
        <f>"206"</f>
        <v>206</v>
      </c>
      <c r="M1535" t="str">
        <f>"9284279840"</f>
        <v>9284279840</v>
      </c>
      <c r="N1535" t="str">
        <f>""</f>
        <v/>
      </c>
      <c r="O1535" t="s">
        <v>5377</v>
      </c>
      <c r="P1535" t="s">
        <v>5382</v>
      </c>
      <c r="R1535" t="s">
        <v>5379</v>
      </c>
      <c r="S1535" t="s">
        <v>36</v>
      </c>
      <c r="T1535" t="str">
        <f>"85332"</f>
        <v>85332</v>
      </c>
      <c r="U1535" t="str">
        <f>""</f>
        <v/>
      </c>
      <c r="V1535" t="s">
        <v>5383</v>
      </c>
      <c r="X1535" t="s">
        <v>5379</v>
      </c>
      <c r="Y1535" t="s">
        <v>36</v>
      </c>
      <c r="Z1535" t="str">
        <f>"85332"</f>
        <v>85332</v>
      </c>
      <c r="AA1535" t="str">
        <f>""</f>
        <v/>
      </c>
      <c r="AB1535" t="s">
        <v>2345</v>
      </c>
    </row>
    <row r="1536" spans="1:28" x14ac:dyDescent="0.25">
      <c r="A1536">
        <v>4480</v>
      </c>
      <c r="B1536" t="str">
        <f>"130323000"</f>
        <v>130323000</v>
      </c>
      <c r="C1536" t="s">
        <v>5384</v>
      </c>
      <c r="D1536">
        <v>0</v>
      </c>
      <c r="E1536" t="str">
        <f>""</f>
        <v/>
      </c>
      <c r="G1536" t="s">
        <v>29</v>
      </c>
      <c r="H1536" t="s">
        <v>5385</v>
      </c>
      <c r="I1536" t="s">
        <v>306</v>
      </c>
      <c r="J1536" t="s">
        <v>782</v>
      </c>
      <c r="K1536" t="str">
        <f>"6238233025"</f>
        <v>6238233025</v>
      </c>
      <c r="L1536" t="str">
        <f>""</f>
        <v/>
      </c>
      <c r="M1536" t="str">
        <f>"9284429488"</f>
        <v>9284429488</v>
      </c>
      <c r="N1536" t="str">
        <f>""</f>
        <v/>
      </c>
      <c r="O1536" t="s">
        <v>5386</v>
      </c>
      <c r="P1536" t="s">
        <v>5387</v>
      </c>
      <c r="R1536" t="s">
        <v>5388</v>
      </c>
      <c r="S1536" t="s">
        <v>36</v>
      </c>
      <c r="T1536" t="str">
        <f>"86332"</f>
        <v>86332</v>
      </c>
      <c r="U1536" t="str">
        <f>""</f>
        <v/>
      </c>
      <c r="V1536" t="s">
        <v>5389</v>
      </c>
      <c r="X1536" t="s">
        <v>5388</v>
      </c>
      <c r="Y1536" t="s">
        <v>36</v>
      </c>
      <c r="Z1536" t="str">
        <f>"86332"</f>
        <v>86332</v>
      </c>
      <c r="AA1536" t="str">
        <f>""</f>
        <v/>
      </c>
      <c r="AB1536" t="s">
        <v>282</v>
      </c>
    </row>
    <row r="1537" spans="1:28" x14ac:dyDescent="0.25">
      <c r="A1537">
        <v>4480</v>
      </c>
      <c r="B1537" t="str">
        <f>"130323000"</f>
        <v>130323000</v>
      </c>
      <c r="C1537" t="s">
        <v>5384</v>
      </c>
      <c r="D1537">
        <v>6115</v>
      </c>
      <c r="E1537" t="str">
        <f>"130323001"</f>
        <v>130323001</v>
      </c>
      <c r="F1537" t="s">
        <v>5390</v>
      </c>
      <c r="G1537" t="s">
        <v>42</v>
      </c>
      <c r="H1537" t="s">
        <v>5385</v>
      </c>
      <c r="I1537" t="s">
        <v>306</v>
      </c>
      <c r="J1537" t="s">
        <v>315</v>
      </c>
      <c r="K1537" t="str">
        <f>"9284423258"</f>
        <v>9284423258</v>
      </c>
      <c r="L1537" t="str">
        <f>"1011"</f>
        <v>1011</v>
      </c>
      <c r="M1537" t="str">
        <f>"9284429488"</f>
        <v>9284429488</v>
      </c>
      <c r="N1537" t="str">
        <f>""</f>
        <v/>
      </c>
      <c r="O1537" t="s">
        <v>5386</v>
      </c>
      <c r="P1537" t="s">
        <v>5387</v>
      </c>
      <c r="R1537" t="s">
        <v>5388</v>
      </c>
      <c r="S1537" t="s">
        <v>36</v>
      </c>
      <c r="T1537" t="str">
        <f>"86332"</f>
        <v>86332</v>
      </c>
      <c r="U1537" t="str">
        <f>""</f>
        <v/>
      </c>
      <c r="V1537" t="s">
        <v>5389</v>
      </c>
      <c r="X1537" t="s">
        <v>5388</v>
      </c>
      <c r="Y1537" t="s">
        <v>36</v>
      </c>
      <c r="Z1537" t="str">
        <f>"86332"</f>
        <v>86332</v>
      </c>
      <c r="AA1537" t="str">
        <f>""</f>
        <v/>
      </c>
      <c r="AB1537" t="s">
        <v>282</v>
      </c>
    </row>
    <row r="1538" spans="1:28" x14ac:dyDescent="0.25">
      <c r="A1538">
        <v>4481</v>
      </c>
      <c r="B1538" t="str">
        <f>"130326000"</f>
        <v>130326000</v>
      </c>
      <c r="C1538" t="s">
        <v>5391</v>
      </c>
      <c r="D1538">
        <v>0</v>
      </c>
      <c r="E1538" t="str">
        <f>""</f>
        <v/>
      </c>
      <c r="G1538" t="s">
        <v>29</v>
      </c>
      <c r="H1538" t="s">
        <v>794</v>
      </c>
      <c r="I1538" t="s">
        <v>5392</v>
      </c>
      <c r="J1538" t="s">
        <v>32</v>
      </c>
      <c r="K1538" t="str">
        <f>"9285674631"</f>
        <v>9285674631</v>
      </c>
      <c r="L1538" t="str">
        <f>"1901"</f>
        <v>1901</v>
      </c>
      <c r="M1538" t="str">
        <f>"9285675347"</f>
        <v>9285675347</v>
      </c>
      <c r="N1538" t="str">
        <f>""</f>
        <v/>
      </c>
      <c r="O1538" t="s">
        <v>5393</v>
      </c>
      <c r="P1538" t="s">
        <v>5394</v>
      </c>
      <c r="R1538" t="s">
        <v>5395</v>
      </c>
      <c r="S1538" t="s">
        <v>36</v>
      </c>
      <c r="T1538" t="str">
        <f>"86335"</f>
        <v>86335</v>
      </c>
      <c r="U1538" t="str">
        <f>"0190"</f>
        <v>0190</v>
      </c>
      <c r="V1538" t="s">
        <v>5394</v>
      </c>
      <c r="X1538" t="s">
        <v>5395</v>
      </c>
      <c r="Y1538" t="s">
        <v>36</v>
      </c>
      <c r="Z1538" t="str">
        <f>"86335"</f>
        <v>86335</v>
      </c>
      <c r="AA1538" t="str">
        <f>"0190"</f>
        <v>0190</v>
      </c>
      <c r="AB1538" t="s">
        <v>86</v>
      </c>
    </row>
    <row r="1539" spans="1:28" x14ac:dyDescent="0.25">
      <c r="A1539">
        <v>4481</v>
      </c>
      <c r="B1539" t="str">
        <f>"130326000"</f>
        <v>130326000</v>
      </c>
      <c r="C1539" t="s">
        <v>5391</v>
      </c>
      <c r="D1539">
        <v>6116</v>
      </c>
      <c r="E1539" t="str">
        <f>"130326101"</f>
        <v>130326101</v>
      </c>
      <c r="F1539" t="s">
        <v>5396</v>
      </c>
      <c r="G1539" t="s">
        <v>42</v>
      </c>
      <c r="H1539" t="s">
        <v>794</v>
      </c>
      <c r="I1539" t="s">
        <v>5392</v>
      </c>
      <c r="J1539" t="s">
        <v>32</v>
      </c>
      <c r="K1539" t="str">
        <f>"9285674631"</f>
        <v>9285674631</v>
      </c>
      <c r="L1539" t="str">
        <f>"1901"</f>
        <v>1901</v>
      </c>
      <c r="M1539" t="str">
        <f>"9285675347"</f>
        <v>9285675347</v>
      </c>
      <c r="N1539" t="str">
        <f>""</f>
        <v/>
      </c>
      <c r="O1539" t="s">
        <v>5393</v>
      </c>
      <c r="P1539" t="s">
        <v>5394</v>
      </c>
      <c r="R1539" t="s">
        <v>5395</v>
      </c>
      <c r="S1539" t="s">
        <v>36</v>
      </c>
      <c r="T1539" t="str">
        <f>"86335"</f>
        <v>86335</v>
      </c>
      <c r="U1539" t="str">
        <f>""</f>
        <v/>
      </c>
      <c r="V1539" t="s">
        <v>5394</v>
      </c>
      <c r="X1539" t="s">
        <v>5395</v>
      </c>
      <c r="Y1539" t="s">
        <v>36</v>
      </c>
      <c r="Z1539" t="str">
        <f>"86335"</f>
        <v>86335</v>
      </c>
      <c r="AA1539" t="str">
        <f>""</f>
        <v/>
      </c>
      <c r="AB1539" t="s">
        <v>86</v>
      </c>
    </row>
    <row r="1540" spans="1:28" x14ac:dyDescent="0.25">
      <c r="A1540">
        <v>4484</v>
      </c>
      <c r="B1540" t="str">
        <f>"130350000"</f>
        <v>130350000</v>
      </c>
      <c r="C1540" t="s">
        <v>5397</v>
      </c>
      <c r="D1540">
        <v>0</v>
      </c>
      <c r="E1540" t="str">
        <f>""</f>
        <v/>
      </c>
      <c r="G1540" t="s">
        <v>29</v>
      </c>
      <c r="H1540" t="s">
        <v>442</v>
      </c>
      <c r="I1540" t="s">
        <v>5398</v>
      </c>
      <c r="J1540" t="s">
        <v>208</v>
      </c>
      <c r="K1540" t="str">
        <f>"6233745588"</f>
        <v>6233745588</v>
      </c>
      <c r="L1540" t="str">
        <f>"103"</f>
        <v>103</v>
      </c>
      <c r="M1540" t="str">
        <f>"6233745045"</f>
        <v>6233745045</v>
      </c>
      <c r="N1540" t="str">
        <f>""</f>
        <v/>
      </c>
      <c r="O1540" t="s">
        <v>5399</v>
      </c>
      <c r="P1540" t="s">
        <v>5400</v>
      </c>
      <c r="R1540" t="s">
        <v>5401</v>
      </c>
      <c r="S1540" t="s">
        <v>36</v>
      </c>
      <c r="T1540" t="str">
        <f>"85324"</f>
        <v>85324</v>
      </c>
      <c r="U1540" t="str">
        <f>"0089"</f>
        <v>0089</v>
      </c>
      <c r="V1540" t="s">
        <v>5402</v>
      </c>
      <c r="X1540" t="s">
        <v>5401</v>
      </c>
      <c r="Y1540" t="s">
        <v>36</v>
      </c>
      <c r="Z1540" t="str">
        <f>"85324"</f>
        <v>85324</v>
      </c>
      <c r="AA1540" t="str">
        <f>"0089"</f>
        <v>0089</v>
      </c>
      <c r="AB1540" t="s">
        <v>516</v>
      </c>
    </row>
    <row r="1541" spans="1:28" x14ac:dyDescent="0.25">
      <c r="A1541">
        <v>4484</v>
      </c>
      <c r="B1541" t="str">
        <f>"130350000"</f>
        <v>130350000</v>
      </c>
      <c r="C1541" t="s">
        <v>5397</v>
      </c>
      <c r="D1541">
        <v>6119</v>
      </c>
      <c r="E1541" t="str">
        <f>"130350101"</f>
        <v>130350101</v>
      </c>
      <c r="F1541" t="s">
        <v>5403</v>
      </c>
      <c r="G1541" t="s">
        <v>42</v>
      </c>
      <c r="H1541" t="s">
        <v>442</v>
      </c>
      <c r="I1541" t="s">
        <v>5398</v>
      </c>
      <c r="J1541" t="s">
        <v>5404</v>
      </c>
      <c r="K1541" t="str">
        <f>"6233745588"</f>
        <v>6233745588</v>
      </c>
      <c r="L1541" t="str">
        <f>"502"</f>
        <v>502</v>
      </c>
      <c r="M1541" t="str">
        <f>"6233745045"</f>
        <v>6233745045</v>
      </c>
      <c r="N1541" t="str">
        <f>""</f>
        <v/>
      </c>
      <c r="O1541" t="s">
        <v>5399</v>
      </c>
      <c r="P1541" t="s">
        <v>5405</v>
      </c>
      <c r="R1541" t="s">
        <v>5401</v>
      </c>
      <c r="S1541" t="s">
        <v>36</v>
      </c>
      <c r="T1541" t="str">
        <f>"85324"</f>
        <v>85324</v>
      </c>
      <c r="U1541" t="str">
        <f>"0089"</f>
        <v>0089</v>
      </c>
      <c r="V1541" t="s">
        <v>5402</v>
      </c>
      <c r="X1541" t="s">
        <v>5401</v>
      </c>
      <c r="Y1541" t="s">
        <v>36</v>
      </c>
      <c r="Z1541" t="str">
        <f>"85324"</f>
        <v>85324</v>
      </c>
      <c r="AA1541" t="str">
        <f>"0089"</f>
        <v>0089</v>
      </c>
      <c r="AB1541" t="s">
        <v>516</v>
      </c>
    </row>
    <row r="1542" spans="1:28" x14ac:dyDescent="0.25">
      <c r="A1542">
        <v>4485</v>
      </c>
      <c r="B1542" t="str">
        <f>"130352000"</f>
        <v>130352000</v>
      </c>
      <c r="C1542" t="s">
        <v>5406</v>
      </c>
      <c r="D1542">
        <v>0</v>
      </c>
      <c r="E1542" t="str">
        <f>""</f>
        <v/>
      </c>
      <c r="G1542" t="s">
        <v>29</v>
      </c>
      <c r="H1542" t="s">
        <v>2845</v>
      </c>
      <c r="I1542" t="s">
        <v>5407</v>
      </c>
      <c r="J1542" t="s">
        <v>5408</v>
      </c>
      <c r="K1542" t="str">
        <f>"9284273347"</f>
        <v>9284273347</v>
      </c>
      <c r="L1542" t="str">
        <f>""</f>
        <v/>
      </c>
      <c r="M1542" t="str">
        <f>""</f>
        <v/>
      </c>
      <c r="N1542" t="str">
        <f>""</f>
        <v/>
      </c>
      <c r="O1542" t="s">
        <v>5409</v>
      </c>
      <c r="P1542" t="s">
        <v>5410</v>
      </c>
      <c r="R1542" t="s">
        <v>5411</v>
      </c>
      <c r="S1542" t="s">
        <v>36</v>
      </c>
      <c r="T1542" t="str">
        <f>"86332"</f>
        <v>86332</v>
      </c>
      <c r="U1542" t="str">
        <f>""</f>
        <v/>
      </c>
      <c r="V1542" t="s">
        <v>5410</v>
      </c>
      <c r="X1542" t="s">
        <v>5411</v>
      </c>
      <c r="Y1542" t="s">
        <v>36</v>
      </c>
      <c r="Z1542" t="str">
        <f>"86332"</f>
        <v>86332</v>
      </c>
      <c r="AA1542" t="str">
        <f>""</f>
        <v/>
      </c>
      <c r="AB1542" t="s">
        <v>508</v>
      </c>
    </row>
    <row r="1543" spans="1:28" x14ac:dyDescent="0.25">
      <c r="A1543">
        <v>4485</v>
      </c>
      <c r="B1543" t="str">
        <f>"130352000"</f>
        <v>130352000</v>
      </c>
      <c r="C1543" t="s">
        <v>5406</v>
      </c>
      <c r="D1543">
        <v>6121</v>
      </c>
      <c r="E1543" t="str">
        <f>"130352101"</f>
        <v>130352101</v>
      </c>
      <c r="F1543" t="s">
        <v>5412</v>
      </c>
      <c r="G1543" t="s">
        <v>42</v>
      </c>
      <c r="H1543" t="s">
        <v>2845</v>
      </c>
      <c r="I1543" t="s">
        <v>5407</v>
      </c>
      <c r="J1543" t="s">
        <v>2162</v>
      </c>
      <c r="K1543" t="str">
        <f>"9284273347"</f>
        <v>9284273347</v>
      </c>
      <c r="L1543" t="str">
        <f>""</f>
        <v/>
      </c>
      <c r="M1543" t="str">
        <f>"9284273348"</f>
        <v>9284273348</v>
      </c>
      <c r="N1543" t="str">
        <f>""</f>
        <v/>
      </c>
      <c r="O1543" t="s">
        <v>5409</v>
      </c>
      <c r="P1543" t="s">
        <v>5413</v>
      </c>
      <c r="R1543" t="s">
        <v>5411</v>
      </c>
      <c r="S1543" t="s">
        <v>36</v>
      </c>
      <c r="T1543" t="str">
        <f>"86332"</f>
        <v>86332</v>
      </c>
      <c r="U1543" t="str">
        <f>""</f>
        <v/>
      </c>
      <c r="V1543" t="s">
        <v>5413</v>
      </c>
      <c r="X1543" t="s">
        <v>5411</v>
      </c>
      <c r="Y1543" t="s">
        <v>36</v>
      </c>
      <c r="Z1543" t="str">
        <f>"86332"</f>
        <v>86332</v>
      </c>
      <c r="AA1543" t="str">
        <f>""</f>
        <v/>
      </c>
      <c r="AB1543" t="s">
        <v>508</v>
      </c>
    </row>
    <row r="1544" spans="1:28" x14ac:dyDescent="0.25">
      <c r="A1544">
        <v>4486</v>
      </c>
      <c r="B1544" t="str">
        <f>"130403000"</f>
        <v>130403000</v>
      </c>
      <c r="C1544" t="s">
        <v>5414</v>
      </c>
      <c r="D1544">
        <v>0</v>
      </c>
      <c r="E1544" t="str">
        <f>""</f>
        <v/>
      </c>
      <c r="G1544" t="s">
        <v>29</v>
      </c>
      <c r="H1544" t="s">
        <v>5298</v>
      </c>
      <c r="I1544" t="s">
        <v>5415</v>
      </c>
      <c r="J1544" t="s">
        <v>486</v>
      </c>
      <c r="K1544" t="str">
        <f>"9286345035"</f>
        <v>9286345035</v>
      </c>
      <c r="L1544" t="str">
        <f>"306"</f>
        <v>306</v>
      </c>
      <c r="M1544" t="str">
        <f>"9286390917"</f>
        <v>9286390917</v>
      </c>
      <c r="N1544" t="str">
        <f>""</f>
        <v/>
      </c>
      <c r="O1544" t="s">
        <v>5416</v>
      </c>
      <c r="P1544" t="s">
        <v>5417</v>
      </c>
      <c r="R1544" t="s">
        <v>5418</v>
      </c>
      <c r="S1544" t="s">
        <v>36</v>
      </c>
      <c r="T1544" t="str">
        <f>"86324"</f>
        <v>86324</v>
      </c>
      <c r="U1544" t="str">
        <f>""</f>
        <v/>
      </c>
      <c r="V1544" t="s">
        <v>5419</v>
      </c>
      <c r="X1544" t="s">
        <v>5418</v>
      </c>
      <c r="Y1544" t="s">
        <v>36</v>
      </c>
      <c r="Z1544" t="str">
        <f>"86324"</f>
        <v>86324</v>
      </c>
      <c r="AA1544" t="str">
        <f>""</f>
        <v/>
      </c>
      <c r="AB1544" t="s">
        <v>508</v>
      </c>
    </row>
    <row r="1545" spans="1:28" x14ac:dyDescent="0.25">
      <c r="A1545">
        <v>4486</v>
      </c>
      <c r="B1545" t="str">
        <f>"130403000"</f>
        <v>130403000</v>
      </c>
      <c r="C1545" t="s">
        <v>5414</v>
      </c>
      <c r="D1545">
        <v>6122</v>
      </c>
      <c r="E1545" t="str">
        <f>"130403101"</f>
        <v>130403101</v>
      </c>
      <c r="F1545" t="s">
        <v>5420</v>
      </c>
      <c r="G1545" t="s">
        <v>42</v>
      </c>
      <c r="H1545" t="s">
        <v>1438</v>
      </c>
      <c r="I1545" t="s">
        <v>5421</v>
      </c>
      <c r="J1545" t="s">
        <v>32</v>
      </c>
      <c r="K1545" t="str">
        <f>"9286345035"</f>
        <v>9286345035</v>
      </c>
      <c r="L1545" t="str">
        <f>"332"</f>
        <v>332</v>
      </c>
      <c r="M1545" t="str">
        <f>"9286390917"</f>
        <v>9286390917</v>
      </c>
      <c r="N1545" t="str">
        <f>""</f>
        <v/>
      </c>
      <c r="O1545" t="s">
        <v>5422</v>
      </c>
      <c r="P1545" t="s">
        <v>5417</v>
      </c>
      <c r="R1545" t="s">
        <v>5418</v>
      </c>
      <c r="S1545" t="s">
        <v>36</v>
      </c>
      <c r="T1545" t="str">
        <f>"86324"</f>
        <v>86324</v>
      </c>
      <c r="U1545" t="str">
        <f>""</f>
        <v/>
      </c>
      <c r="V1545" t="s">
        <v>5419</v>
      </c>
      <c r="X1545" t="s">
        <v>5418</v>
      </c>
      <c r="Y1545" t="s">
        <v>36</v>
      </c>
      <c r="Z1545" t="str">
        <f>"86324"</f>
        <v>86324</v>
      </c>
      <c r="AA1545" t="str">
        <f>""</f>
        <v/>
      </c>
      <c r="AB1545" t="s">
        <v>508</v>
      </c>
    </row>
    <row r="1546" spans="1:28" x14ac:dyDescent="0.25">
      <c r="A1546">
        <v>4487</v>
      </c>
      <c r="B1546" t="str">
        <f t="shared" ref="B1546:B1551" si="266">"130406000"</f>
        <v>130406000</v>
      </c>
      <c r="C1546" t="s">
        <v>5423</v>
      </c>
      <c r="D1546">
        <v>0</v>
      </c>
      <c r="E1546" t="str">
        <f>""</f>
        <v/>
      </c>
      <c r="G1546" t="s">
        <v>29</v>
      </c>
      <c r="H1546" t="s">
        <v>5424</v>
      </c>
      <c r="I1546" t="s">
        <v>5425</v>
      </c>
      <c r="J1546" t="s">
        <v>301</v>
      </c>
      <c r="K1546" t="str">
        <f t="shared" ref="K1546:K1551" si="267">"9286394703"</f>
        <v>9286394703</v>
      </c>
      <c r="L1546" t="str">
        <f>""</f>
        <v/>
      </c>
      <c r="M1546" t="str">
        <f t="shared" ref="M1546:M1551" si="268">"9286399590"</f>
        <v>9286399590</v>
      </c>
      <c r="N1546" t="str">
        <f>""</f>
        <v/>
      </c>
      <c r="O1546" t="s">
        <v>5426</v>
      </c>
      <c r="P1546" t="s">
        <v>5427</v>
      </c>
      <c r="Q1546" t="s">
        <v>5428</v>
      </c>
      <c r="R1546" t="s">
        <v>5429</v>
      </c>
      <c r="S1546" t="s">
        <v>36</v>
      </c>
      <c r="T1546" t="str">
        <f t="shared" ref="T1546:T1553" si="269">"86326"</f>
        <v>86326</v>
      </c>
      <c r="U1546" t="str">
        <f>""</f>
        <v/>
      </c>
      <c r="V1546" t="s">
        <v>5430</v>
      </c>
      <c r="X1546" t="s">
        <v>5429</v>
      </c>
      <c r="Y1546" t="s">
        <v>36</v>
      </c>
      <c r="Z1546" t="str">
        <f>"86326"</f>
        <v>86326</v>
      </c>
      <c r="AA1546" t="str">
        <f>""</f>
        <v/>
      </c>
      <c r="AB1546" t="s">
        <v>2345</v>
      </c>
    </row>
    <row r="1547" spans="1:28" x14ac:dyDescent="0.25">
      <c r="A1547">
        <v>4487</v>
      </c>
      <c r="B1547" t="str">
        <f t="shared" si="266"/>
        <v>130406000</v>
      </c>
      <c r="C1547" t="s">
        <v>5423</v>
      </c>
      <c r="D1547">
        <v>6123</v>
      </c>
      <c r="E1547" t="str">
        <f>"130406101"</f>
        <v>130406101</v>
      </c>
      <c r="F1547" t="s">
        <v>5431</v>
      </c>
      <c r="G1547" t="s">
        <v>42</v>
      </c>
      <c r="H1547" t="s">
        <v>5424</v>
      </c>
      <c r="I1547" t="s">
        <v>5425</v>
      </c>
      <c r="J1547" t="s">
        <v>301</v>
      </c>
      <c r="K1547" t="str">
        <f t="shared" si="267"/>
        <v>9286394703</v>
      </c>
      <c r="L1547" t="str">
        <f>""</f>
        <v/>
      </c>
      <c r="M1547" t="str">
        <f t="shared" si="268"/>
        <v>9286399590</v>
      </c>
      <c r="N1547" t="str">
        <f>""</f>
        <v/>
      </c>
      <c r="O1547" t="s">
        <v>5426</v>
      </c>
      <c r="P1547" t="s">
        <v>5432</v>
      </c>
      <c r="R1547" t="s">
        <v>5429</v>
      </c>
      <c r="S1547" t="s">
        <v>36</v>
      </c>
      <c r="T1547" t="str">
        <f t="shared" si="269"/>
        <v>86326</v>
      </c>
      <c r="U1547" t="str">
        <f>""</f>
        <v/>
      </c>
      <c r="V1547" t="s">
        <v>5433</v>
      </c>
      <c r="X1547" t="s">
        <v>5429</v>
      </c>
      <c r="Y1547" t="s">
        <v>36</v>
      </c>
      <c r="Z1547" t="str">
        <f>"86326"</f>
        <v>86326</v>
      </c>
      <c r="AA1547" t="str">
        <f>""</f>
        <v/>
      </c>
      <c r="AB1547" t="s">
        <v>2345</v>
      </c>
    </row>
    <row r="1548" spans="1:28" x14ac:dyDescent="0.25">
      <c r="A1548">
        <v>4487</v>
      </c>
      <c r="B1548" t="str">
        <f t="shared" si="266"/>
        <v>130406000</v>
      </c>
      <c r="C1548" t="s">
        <v>5423</v>
      </c>
      <c r="D1548">
        <v>6124</v>
      </c>
      <c r="E1548" t="str">
        <f>"130406102"</f>
        <v>130406102</v>
      </c>
      <c r="F1548" t="s">
        <v>5434</v>
      </c>
      <c r="G1548" t="s">
        <v>42</v>
      </c>
      <c r="H1548" t="s">
        <v>5424</v>
      </c>
      <c r="I1548" t="s">
        <v>5425</v>
      </c>
      <c r="J1548" t="s">
        <v>301</v>
      </c>
      <c r="K1548" t="str">
        <f t="shared" si="267"/>
        <v>9286394703</v>
      </c>
      <c r="L1548" t="str">
        <f>""</f>
        <v/>
      </c>
      <c r="M1548" t="str">
        <f t="shared" si="268"/>
        <v>9286399590</v>
      </c>
      <c r="N1548" t="str">
        <f>""</f>
        <v/>
      </c>
      <c r="O1548" t="s">
        <v>5426</v>
      </c>
      <c r="P1548" t="s">
        <v>5435</v>
      </c>
      <c r="R1548" t="s">
        <v>5429</v>
      </c>
      <c r="S1548" t="s">
        <v>36</v>
      </c>
      <c r="T1548" t="str">
        <f t="shared" si="269"/>
        <v>86326</v>
      </c>
      <c r="U1548" t="str">
        <f>""</f>
        <v/>
      </c>
      <c r="V1548" t="s">
        <v>5436</v>
      </c>
      <c r="X1548" t="s">
        <v>5429</v>
      </c>
      <c r="Y1548" t="s">
        <v>36</v>
      </c>
      <c r="Z1548" t="str">
        <f>"86326"</f>
        <v>86326</v>
      </c>
      <c r="AA1548" t="str">
        <f>""</f>
        <v/>
      </c>
      <c r="AB1548" t="s">
        <v>2345</v>
      </c>
    </row>
    <row r="1549" spans="1:28" x14ac:dyDescent="0.25">
      <c r="A1549">
        <v>4487</v>
      </c>
      <c r="B1549" t="str">
        <f t="shared" si="266"/>
        <v>130406000</v>
      </c>
      <c r="C1549" t="s">
        <v>5423</v>
      </c>
      <c r="D1549">
        <v>6125</v>
      </c>
      <c r="E1549" t="str">
        <f>"130406103"</f>
        <v>130406103</v>
      </c>
      <c r="F1549" t="s">
        <v>5437</v>
      </c>
      <c r="G1549" t="s">
        <v>42</v>
      </c>
      <c r="H1549" t="s">
        <v>5424</v>
      </c>
      <c r="I1549" t="s">
        <v>5425</v>
      </c>
      <c r="J1549" t="s">
        <v>301</v>
      </c>
      <c r="K1549" t="str">
        <f t="shared" si="267"/>
        <v>9286394703</v>
      </c>
      <c r="L1549" t="str">
        <f>""</f>
        <v/>
      </c>
      <c r="M1549" t="str">
        <f t="shared" si="268"/>
        <v>9286399590</v>
      </c>
      <c r="N1549" t="str">
        <f>""</f>
        <v/>
      </c>
      <c r="O1549" t="s">
        <v>5426</v>
      </c>
      <c r="P1549" t="s">
        <v>5435</v>
      </c>
      <c r="R1549" t="s">
        <v>5429</v>
      </c>
      <c r="S1549" t="s">
        <v>36</v>
      </c>
      <c r="T1549" t="str">
        <f t="shared" si="269"/>
        <v>86326</v>
      </c>
      <c r="U1549" t="str">
        <f>""</f>
        <v/>
      </c>
      <c r="V1549" t="s">
        <v>5438</v>
      </c>
      <c r="X1549" t="s">
        <v>5439</v>
      </c>
      <c r="Y1549" t="s">
        <v>36</v>
      </c>
      <c r="Z1549" t="str">
        <f>"86325"</f>
        <v>86325</v>
      </c>
      <c r="AA1549" t="str">
        <f>""</f>
        <v/>
      </c>
      <c r="AB1549" t="s">
        <v>2345</v>
      </c>
    </row>
    <row r="1550" spans="1:28" x14ac:dyDescent="0.25">
      <c r="A1550">
        <v>4487</v>
      </c>
      <c r="B1550" t="str">
        <f t="shared" si="266"/>
        <v>130406000</v>
      </c>
      <c r="C1550" t="s">
        <v>5423</v>
      </c>
      <c r="D1550">
        <v>6126</v>
      </c>
      <c r="E1550" t="str">
        <f>"130406104"</f>
        <v>130406104</v>
      </c>
      <c r="F1550" t="s">
        <v>5440</v>
      </c>
      <c r="G1550" t="s">
        <v>42</v>
      </c>
      <c r="H1550" t="s">
        <v>5424</v>
      </c>
      <c r="I1550" t="s">
        <v>5425</v>
      </c>
      <c r="J1550" t="s">
        <v>301</v>
      </c>
      <c r="K1550" t="str">
        <f t="shared" si="267"/>
        <v>9286394703</v>
      </c>
      <c r="L1550" t="str">
        <f>""</f>
        <v/>
      </c>
      <c r="M1550" t="str">
        <f t="shared" si="268"/>
        <v>9286399590</v>
      </c>
      <c r="N1550" t="str">
        <f>""</f>
        <v/>
      </c>
      <c r="O1550" t="s">
        <v>5426</v>
      </c>
      <c r="P1550" t="s">
        <v>5435</v>
      </c>
      <c r="R1550" t="s">
        <v>5429</v>
      </c>
      <c r="S1550" t="s">
        <v>36</v>
      </c>
      <c r="T1550" t="str">
        <f t="shared" si="269"/>
        <v>86326</v>
      </c>
      <c r="U1550" t="str">
        <f>""</f>
        <v/>
      </c>
      <c r="V1550" t="s">
        <v>5441</v>
      </c>
      <c r="X1550" t="s">
        <v>5429</v>
      </c>
      <c r="Y1550" t="s">
        <v>36</v>
      </c>
      <c r="Z1550" t="str">
        <f>"86326"</f>
        <v>86326</v>
      </c>
      <c r="AA1550" t="str">
        <f>""</f>
        <v/>
      </c>
      <c r="AB1550" t="s">
        <v>2345</v>
      </c>
    </row>
    <row r="1551" spans="1:28" x14ac:dyDescent="0.25">
      <c r="A1551">
        <v>4487</v>
      </c>
      <c r="B1551" t="str">
        <f t="shared" si="266"/>
        <v>130406000</v>
      </c>
      <c r="C1551" t="s">
        <v>5423</v>
      </c>
      <c r="D1551">
        <v>90934</v>
      </c>
      <c r="E1551" t="str">
        <f>"130406106"</f>
        <v>130406106</v>
      </c>
      <c r="F1551" t="s">
        <v>5442</v>
      </c>
      <c r="G1551" t="s">
        <v>42</v>
      </c>
      <c r="H1551" t="s">
        <v>5424</v>
      </c>
      <c r="I1551" t="s">
        <v>5425</v>
      </c>
      <c r="J1551" t="s">
        <v>301</v>
      </c>
      <c r="K1551" t="str">
        <f t="shared" si="267"/>
        <v>9286394703</v>
      </c>
      <c r="L1551" t="str">
        <f>""</f>
        <v/>
      </c>
      <c r="M1551" t="str">
        <f t="shared" si="268"/>
        <v>9286399590</v>
      </c>
      <c r="N1551" t="str">
        <f>""</f>
        <v/>
      </c>
      <c r="O1551" t="s">
        <v>5426</v>
      </c>
      <c r="P1551" t="s">
        <v>5443</v>
      </c>
      <c r="R1551" t="s">
        <v>5429</v>
      </c>
      <c r="S1551" t="s">
        <v>36</v>
      </c>
      <c r="T1551" t="str">
        <f t="shared" si="269"/>
        <v>86326</v>
      </c>
      <c r="U1551" t="str">
        <f>""</f>
        <v/>
      </c>
      <c r="V1551" t="s">
        <v>5444</v>
      </c>
      <c r="X1551" t="s">
        <v>5429</v>
      </c>
      <c r="Y1551" t="s">
        <v>36</v>
      </c>
      <c r="Z1551" t="str">
        <f>"86326"</f>
        <v>86326</v>
      </c>
      <c r="AA1551" t="str">
        <f>""</f>
        <v/>
      </c>
      <c r="AB1551" t="s">
        <v>2345</v>
      </c>
    </row>
    <row r="1552" spans="1:28" x14ac:dyDescent="0.25">
      <c r="A1552">
        <v>4488</v>
      </c>
      <c r="B1552" t="str">
        <f>"130504000"</f>
        <v>130504000</v>
      </c>
      <c r="C1552" t="s">
        <v>5445</v>
      </c>
      <c r="D1552">
        <v>0</v>
      </c>
      <c r="E1552" t="str">
        <f>""</f>
        <v/>
      </c>
      <c r="G1552" t="s">
        <v>29</v>
      </c>
      <c r="H1552" t="s">
        <v>5446</v>
      </c>
      <c r="I1552" t="s">
        <v>2896</v>
      </c>
      <c r="J1552" t="s">
        <v>5447</v>
      </c>
      <c r="K1552" t="str">
        <f>"9286494447"</f>
        <v>9286494447</v>
      </c>
      <c r="L1552" t="str">
        <f>"4447"</f>
        <v>4447</v>
      </c>
      <c r="M1552" t="str">
        <f>"9286494933"</f>
        <v>9286494933</v>
      </c>
      <c r="N1552" t="str">
        <f>""</f>
        <v/>
      </c>
      <c r="O1552" t="s">
        <v>5448</v>
      </c>
      <c r="P1552" t="s">
        <v>5449</v>
      </c>
      <c r="R1552" t="s">
        <v>5429</v>
      </c>
      <c r="S1552" t="s">
        <v>36</v>
      </c>
      <c r="T1552" t="str">
        <f t="shared" si="269"/>
        <v>86326</v>
      </c>
      <c r="U1552" t="str">
        <f>""</f>
        <v/>
      </c>
      <c r="V1552" t="s">
        <v>5449</v>
      </c>
      <c r="X1552" t="s">
        <v>5429</v>
      </c>
      <c r="Y1552" t="s">
        <v>36</v>
      </c>
      <c r="Z1552" t="str">
        <f>"86326"</f>
        <v>86326</v>
      </c>
      <c r="AA1552" t="str">
        <f>""</f>
        <v/>
      </c>
      <c r="AB1552" t="s">
        <v>265</v>
      </c>
    </row>
    <row r="1553" spans="1:28" x14ac:dyDescent="0.25">
      <c r="A1553">
        <v>4488</v>
      </c>
      <c r="B1553" t="str">
        <f>"130504000"</f>
        <v>130504000</v>
      </c>
      <c r="C1553" t="s">
        <v>5445</v>
      </c>
      <c r="D1553">
        <v>6127</v>
      </c>
      <c r="E1553" t="str">
        <f>"130504201"</f>
        <v>130504201</v>
      </c>
      <c r="F1553" t="s">
        <v>5450</v>
      </c>
      <c r="G1553" t="s">
        <v>42</v>
      </c>
      <c r="H1553" t="s">
        <v>5446</v>
      </c>
      <c r="I1553" t="s">
        <v>2896</v>
      </c>
      <c r="J1553" t="s">
        <v>5447</v>
      </c>
      <c r="K1553" t="str">
        <f>"9286494447"</f>
        <v>9286494447</v>
      </c>
      <c r="L1553" t="str">
        <f>""</f>
        <v/>
      </c>
      <c r="M1553" t="str">
        <f>"9286494399"</f>
        <v>9286494399</v>
      </c>
      <c r="N1553" t="str">
        <f>""</f>
        <v/>
      </c>
      <c r="O1553" t="s">
        <v>5448</v>
      </c>
      <c r="P1553" t="s">
        <v>5451</v>
      </c>
      <c r="R1553" t="s">
        <v>5429</v>
      </c>
      <c r="S1553" t="s">
        <v>36</v>
      </c>
      <c r="T1553" t="str">
        <f t="shared" si="269"/>
        <v>86326</v>
      </c>
      <c r="U1553" t="str">
        <f>""</f>
        <v/>
      </c>
      <c r="V1553" t="s">
        <v>5451</v>
      </c>
      <c r="X1553" t="s">
        <v>5429</v>
      </c>
      <c r="Y1553" t="s">
        <v>36</v>
      </c>
      <c r="Z1553" t="str">
        <f>"86326"</f>
        <v>86326</v>
      </c>
      <c r="AA1553" t="str">
        <f>""</f>
        <v/>
      </c>
      <c r="AB1553" t="s">
        <v>265</v>
      </c>
    </row>
    <row r="1554" spans="1:28" x14ac:dyDescent="0.25">
      <c r="A1554">
        <v>4493</v>
      </c>
      <c r="B1554" t="str">
        <f>"138712000"</f>
        <v>138712000</v>
      </c>
      <c r="C1554" t="s">
        <v>5452</v>
      </c>
      <c r="D1554">
        <v>0</v>
      </c>
      <c r="E1554" t="str">
        <f>""</f>
        <v/>
      </c>
      <c r="G1554" t="s">
        <v>29</v>
      </c>
      <c r="H1554" t="s">
        <v>260</v>
      </c>
      <c r="I1554" t="s">
        <v>5453</v>
      </c>
      <c r="J1554" t="s">
        <v>5454</v>
      </c>
      <c r="K1554" t="str">
        <f>"9286364766"</f>
        <v>9286364766</v>
      </c>
      <c r="L1554" t="str">
        <f>"104"</f>
        <v>104</v>
      </c>
      <c r="M1554" t="str">
        <f>""</f>
        <v/>
      </c>
      <c r="N1554" t="str">
        <f>""</f>
        <v/>
      </c>
      <c r="O1554" t="s">
        <v>5455</v>
      </c>
      <c r="P1554" t="s">
        <v>5456</v>
      </c>
      <c r="R1554" t="s">
        <v>5353</v>
      </c>
      <c r="S1554" t="s">
        <v>36</v>
      </c>
      <c r="T1554" t="str">
        <f>"86323"</f>
        <v>86323</v>
      </c>
      <c r="U1554" t="str">
        <f>"5054"</f>
        <v>5054</v>
      </c>
      <c r="V1554" t="s">
        <v>5456</v>
      </c>
      <c r="X1554" t="s">
        <v>5353</v>
      </c>
      <c r="Y1554" t="s">
        <v>36</v>
      </c>
      <c r="Z1554" t="str">
        <f>"86323"</f>
        <v>86323</v>
      </c>
      <c r="AA1554" t="str">
        <f>"5054"</f>
        <v>5054</v>
      </c>
      <c r="AB1554" t="s">
        <v>282</v>
      </c>
    </row>
    <row r="1555" spans="1:28" x14ac:dyDescent="0.25">
      <c r="A1555">
        <v>4493</v>
      </c>
      <c r="B1555" t="str">
        <f>"138712000"</f>
        <v>138712000</v>
      </c>
      <c r="C1555" t="s">
        <v>5452</v>
      </c>
      <c r="D1555">
        <v>6133</v>
      </c>
      <c r="E1555" t="str">
        <f>"138712101"</f>
        <v>138712101</v>
      </c>
      <c r="F1555" t="s">
        <v>5452</v>
      </c>
      <c r="G1555" t="s">
        <v>42</v>
      </c>
      <c r="H1555" t="s">
        <v>260</v>
      </c>
      <c r="I1555" t="s">
        <v>5453</v>
      </c>
      <c r="J1555" t="s">
        <v>5457</v>
      </c>
      <c r="K1555" t="str">
        <f>"9286364766"</f>
        <v>9286364766</v>
      </c>
      <c r="L1555" t="str">
        <f>"104"</f>
        <v>104</v>
      </c>
      <c r="M1555" t="str">
        <f>"9286365149"</f>
        <v>9286365149</v>
      </c>
      <c r="N1555" t="str">
        <f>""</f>
        <v/>
      </c>
      <c r="O1555" t="s">
        <v>5455</v>
      </c>
      <c r="P1555" t="s">
        <v>5458</v>
      </c>
      <c r="R1555" t="s">
        <v>5353</v>
      </c>
      <c r="S1555" t="s">
        <v>36</v>
      </c>
      <c r="T1555" t="str">
        <f>"86323"</f>
        <v>86323</v>
      </c>
      <c r="U1555" t="str">
        <f>"5045"</f>
        <v>5045</v>
      </c>
      <c r="V1555" t="s">
        <v>5458</v>
      </c>
      <c r="X1555" t="s">
        <v>5353</v>
      </c>
      <c r="Y1555" t="s">
        <v>36</v>
      </c>
      <c r="Z1555" t="str">
        <f>"86323"</f>
        <v>86323</v>
      </c>
      <c r="AA1555" t="str">
        <f>"5045"</f>
        <v>5045</v>
      </c>
      <c r="AB1555" t="s">
        <v>282</v>
      </c>
    </row>
    <row r="1556" spans="1:28" x14ac:dyDescent="0.25">
      <c r="A1556">
        <v>4495</v>
      </c>
      <c r="B1556" t="str">
        <f>"138751000"</f>
        <v>138751000</v>
      </c>
      <c r="C1556" t="s">
        <v>5459</v>
      </c>
      <c r="D1556">
        <v>0</v>
      </c>
      <c r="E1556" t="str">
        <f>""</f>
        <v/>
      </c>
      <c r="G1556" t="s">
        <v>29</v>
      </c>
      <c r="H1556" t="s">
        <v>5460</v>
      </c>
      <c r="I1556" t="s">
        <v>5461</v>
      </c>
      <c r="J1556" t="s">
        <v>32</v>
      </c>
      <c r="K1556" t="str">
        <f>"6026966651"</f>
        <v>6026966651</v>
      </c>
      <c r="L1556" t="str">
        <f>""</f>
        <v/>
      </c>
      <c r="M1556" t="str">
        <f>""</f>
        <v/>
      </c>
      <c r="N1556" t="str">
        <f>""</f>
        <v/>
      </c>
      <c r="O1556" t="s">
        <v>5462</v>
      </c>
      <c r="P1556" t="s">
        <v>5463</v>
      </c>
      <c r="R1556" t="s">
        <v>5277</v>
      </c>
      <c r="S1556" t="s">
        <v>36</v>
      </c>
      <c r="T1556" t="str">
        <f>"86314"</f>
        <v>86314</v>
      </c>
      <c r="U1556" t="str">
        <f>""</f>
        <v/>
      </c>
      <c r="V1556" t="s">
        <v>5463</v>
      </c>
      <c r="X1556" t="s">
        <v>5277</v>
      </c>
      <c r="Y1556" t="s">
        <v>36</v>
      </c>
      <c r="Z1556" t="str">
        <f>"86314"</f>
        <v>86314</v>
      </c>
      <c r="AA1556" t="str">
        <f>""</f>
        <v/>
      </c>
      <c r="AB1556" t="s">
        <v>821</v>
      </c>
    </row>
    <row r="1557" spans="1:28" x14ac:dyDescent="0.25">
      <c r="A1557">
        <v>4495</v>
      </c>
      <c r="B1557" t="str">
        <f>"138751000"</f>
        <v>138751000</v>
      </c>
      <c r="C1557" t="s">
        <v>5459</v>
      </c>
      <c r="D1557">
        <v>6140</v>
      </c>
      <c r="E1557" t="str">
        <f>"138751001"</f>
        <v>138751001</v>
      </c>
      <c r="F1557" t="s">
        <v>5464</v>
      </c>
      <c r="G1557" t="s">
        <v>42</v>
      </c>
      <c r="H1557" t="s">
        <v>5460</v>
      </c>
      <c r="I1557" t="s">
        <v>5461</v>
      </c>
      <c r="J1557" t="s">
        <v>32</v>
      </c>
      <c r="K1557" t="str">
        <f>"6026966651"</f>
        <v>6026966651</v>
      </c>
      <c r="L1557" t="str">
        <f>""</f>
        <v/>
      </c>
      <c r="M1557" t="str">
        <f>""</f>
        <v/>
      </c>
      <c r="N1557" t="str">
        <f>""</f>
        <v/>
      </c>
      <c r="O1557" t="s">
        <v>5462</v>
      </c>
      <c r="P1557" t="s">
        <v>5463</v>
      </c>
      <c r="R1557" t="s">
        <v>5277</v>
      </c>
      <c r="S1557" t="s">
        <v>36</v>
      </c>
      <c r="T1557" t="str">
        <f>"86314"</f>
        <v>86314</v>
      </c>
      <c r="U1557" t="str">
        <f>""</f>
        <v/>
      </c>
      <c r="V1557" t="s">
        <v>5463</v>
      </c>
      <c r="X1557" t="s">
        <v>5277</v>
      </c>
      <c r="Y1557" t="s">
        <v>36</v>
      </c>
      <c r="Z1557" t="str">
        <f>"86314"</f>
        <v>86314</v>
      </c>
      <c r="AA1557" t="str">
        <f>""</f>
        <v/>
      </c>
      <c r="AB1557" t="s">
        <v>821</v>
      </c>
    </row>
    <row r="1558" spans="1:28" x14ac:dyDescent="0.25">
      <c r="A1558">
        <v>4495</v>
      </c>
      <c r="B1558" t="str">
        <f>"138751000"</f>
        <v>138751000</v>
      </c>
      <c r="C1558" t="s">
        <v>5459</v>
      </c>
      <c r="D1558">
        <v>92597</v>
      </c>
      <c r="E1558" t="str">
        <f>"078263001"</f>
        <v>078263001</v>
      </c>
      <c r="F1558" t="s">
        <v>5465</v>
      </c>
      <c r="G1558" t="s">
        <v>42</v>
      </c>
      <c r="H1558" t="s">
        <v>5460</v>
      </c>
      <c r="I1558" t="s">
        <v>5461</v>
      </c>
      <c r="J1558" t="s">
        <v>32</v>
      </c>
      <c r="K1558" t="str">
        <f>"6026966651"</f>
        <v>6026966651</v>
      </c>
      <c r="L1558" t="str">
        <f>""</f>
        <v/>
      </c>
      <c r="M1558" t="str">
        <f>""</f>
        <v/>
      </c>
      <c r="N1558" t="str">
        <f>""</f>
        <v/>
      </c>
      <c r="O1558" t="s">
        <v>5462</v>
      </c>
      <c r="P1558" t="s">
        <v>5466</v>
      </c>
      <c r="R1558" t="s">
        <v>964</v>
      </c>
      <c r="S1558" t="s">
        <v>36</v>
      </c>
      <c r="T1558" t="str">
        <f>"85202"</f>
        <v>85202</v>
      </c>
      <c r="U1558" t="str">
        <f>""</f>
        <v/>
      </c>
      <c r="V1558" t="s">
        <v>5466</v>
      </c>
      <c r="X1558" t="s">
        <v>964</v>
      </c>
      <c r="Y1558" t="s">
        <v>36</v>
      </c>
      <c r="Z1558" t="str">
        <f>"85202"</f>
        <v>85202</v>
      </c>
      <c r="AA1558" t="str">
        <f>""</f>
        <v/>
      </c>
      <c r="AB1558" t="s">
        <v>821</v>
      </c>
    </row>
    <row r="1559" spans="1:28" x14ac:dyDescent="0.25">
      <c r="A1559">
        <v>4499</v>
      </c>
      <c r="B1559" t="str">
        <f t="shared" ref="B1559:B1575" si="270">"140401000"</f>
        <v>140401000</v>
      </c>
      <c r="C1559" t="s">
        <v>5467</v>
      </c>
      <c r="D1559">
        <v>0</v>
      </c>
      <c r="E1559" t="str">
        <f>""</f>
        <v/>
      </c>
      <c r="G1559" t="s">
        <v>29</v>
      </c>
      <c r="H1559" t="s">
        <v>752</v>
      </c>
      <c r="I1559" t="s">
        <v>5468</v>
      </c>
      <c r="J1559" t="s">
        <v>333</v>
      </c>
      <c r="K1559" t="str">
        <f t="shared" ref="K1559:K1575" si="271">"9285024360"</f>
        <v>9285024360</v>
      </c>
      <c r="L1559" t="str">
        <f>""</f>
        <v/>
      </c>
      <c r="M1559" t="str">
        <f>""</f>
        <v/>
      </c>
      <c r="N1559" t="str">
        <f>""</f>
        <v/>
      </c>
      <c r="O1559" t="s">
        <v>5469</v>
      </c>
      <c r="P1559" t="s">
        <v>5470</v>
      </c>
      <c r="R1559" t="s">
        <v>5471</v>
      </c>
      <c r="S1559" t="s">
        <v>36</v>
      </c>
      <c r="T1559" t="str">
        <f t="shared" ref="T1559:T1575" si="272">"85364"</f>
        <v>85364</v>
      </c>
      <c r="U1559" t="str">
        <f>""</f>
        <v/>
      </c>
      <c r="V1559" t="s">
        <v>5470</v>
      </c>
      <c r="X1559" t="s">
        <v>5471</v>
      </c>
      <c r="Y1559" t="s">
        <v>36</v>
      </c>
      <c r="Z1559" t="str">
        <f t="shared" ref="Z1559:Z1574" si="273">"85364"</f>
        <v>85364</v>
      </c>
      <c r="AA1559" t="str">
        <f>""</f>
        <v/>
      </c>
      <c r="AB1559" t="s">
        <v>516</v>
      </c>
    </row>
    <row r="1560" spans="1:28" x14ac:dyDescent="0.25">
      <c r="A1560">
        <v>4499</v>
      </c>
      <c r="B1560" t="str">
        <f t="shared" si="270"/>
        <v>140401000</v>
      </c>
      <c r="C1560" t="s">
        <v>5467</v>
      </c>
      <c r="D1560">
        <v>6147</v>
      </c>
      <c r="E1560" t="str">
        <f>"140401101"</f>
        <v>140401101</v>
      </c>
      <c r="F1560" t="s">
        <v>5472</v>
      </c>
      <c r="G1560" t="s">
        <v>42</v>
      </c>
      <c r="H1560" t="s">
        <v>752</v>
      </c>
      <c r="I1560" t="s">
        <v>5468</v>
      </c>
      <c r="J1560" t="s">
        <v>333</v>
      </c>
      <c r="K1560" t="str">
        <f t="shared" si="271"/>
        <v>9285024360</v>
      </c>
      <c r="L1560" t="str">
        <f>""</f>
        <v/>
      </c>
      <c r="M1560" t="str">
        <f t="shared" ref="M1560:M1575" si="274">"9285024443"</f>
        <v>9285024443</v>
      </c>
      <c r="N1560" t="str">
        <f>""</f>
        <v/>
      </c>
      <c r="O1560" t="s">
        <v>5469</v>
      </c>
      <c r="P1560" t="s">
        <v>5473</v>
      </c>
      <c r="R1560" t="s">
        <v>5471</v>
      </c>
      <c r="S1560" t="s">
        <v>36</v>
      </c>
      <c r="T1560" t="str">
        <f t="shared" si="272"/>
        <v>85364</v>
      </c>
      <c r="U1560" t="str">
        <f>""</f>
        <v/>
      </c>
      <c r="V1560" t="s">
        <v>5474</v>
      </c>
      <c r="X1560" t="s">
        <v>5471</v>
      </c>
      <c r="Y1560" t="s">
        <v>36</v>
      </c>
      <c r="Z1560" t="str">
        <f t="shared" si="273"/>
        <v>85364</v>
      </c>
      <c r="AA1560" t="str">
        <f>""</f>
        <v/>
      </c>
      <c r="AB1560" t="s">
        <v>516</v>
      </c>
    </row>
    <row r="1561" spans="1:28" x14ac:dyDescent="0.25">
      <c r="A1561">
        <v>4499</v>
      </c>
      <c r="B1561" t="str">
        <f t="shared" si="270"/>
        <v>140401000</v>
      </c>
      <c r="C1561" t="s">
        <v>5467</v>
      </c>
      <c r="D1561">
        <v>6148</v>
      </c>
      <c r="E1561" t="str">
        <f>"140401102"</f>
        <v>140401102</v>
      </c>
      <c r="F1561" t="s">
        <v>5475</v>
      </c>
      <c r="G1561" t="s">
        <v>42</v>
      </c>
      <c r="H1561" t="s">
        <v>752</v>
      </c>
      <c r="I1561" t="s">
        <v>5468</v>
      </c>
      <c r="J1561" t="s">
        <v>333</v>
      </c>
      <c r="K1561" t="str">
        <f t="shared" si="271"/>
        <v>9285024360</v>
      </c>
      <c r="L1561" t="str">
        <f>""</f>
        <v/>
      </c>
      <c r="M1561" t="str">
        <f t="shared" si="274"/>
        <v>9285024443</v>
      </c>
      <c r="N1561" t="str">
        <f>""</f>
        <v/>
      </c>
      <c r="O1561" t="s">
        <v>5469</v>
      </c>
      <c r="P1561" t="s">
        <v>5473</v>
      </c>
      <c r="R1561" t="s">
        <v>5471</v>
      </c>
      <c r="S1561" t="s">
        <v>36</v>
      </c>
      <c r="T1561" t="str">
        <f t="shared" si="272"/>
        <v>85364</v>
      </c>
      <c r="U1561" t="str">
        <f>""</f>
        <v/>
      </c>
      <c r="V1561" t="s">
        <v>5476</v>
      </c>
      <c r="X1561" t="s">
        <v>5471</v>
      </c>
      <c r="Y1561" t="s">
        <v>36</v>
      </c>
      <c r="Z1561" t="str">
        <f t="shared" si="273"/>
        <v>85364</v>
      </c>
      <c r="AA1561" t="str">
        <f>""</f>
        <v/>
      </c>
      <c r="AB1561" t="s">
        <v>516</v>
      </c>
    </row>
    <row r="1562" spans="1:28" x14ac:dyDescent="0.25">
      <c r="A1562">
        <v>4499</v>
      </c>
      <c r="B1562" t="str">
        <f t="shared" si="270"/>
        <v>140401000</v>
      </c>
      <c r="C1562" t="s">
        <v>5467</v>
      </c>
      <c r="D1562">
        <v>6149</v>
      </c>
      <c r="E1562" t="str">
        <f>"140401103"</f>
        <v>140401103</v>
      </c>
      <c r="F1562" t="s">
        <v>5477</v>
      </c>
      <c r="G1562" t="s">
        <v>42</v>
      </c>
      <c r="H1562" t="s">
        <v>752</v>
      </c>
      <c r="I1562" t="s">
        <v>5468</v>
      </c>
      <c r="J1562" t="s">
        <v>333</v>
      </c>
      <c r="K1562" t="str">
        <f t="shared" si="271"/>
        <v>9285024360</v>
      </c>
      <c r="L1562" t="str">
        <f>""</f>
        <v/>
      </c>
      <c r="M1562" t="str">
        <f t="shared" si="274"/>
        <v>9285024443</v>
      </c>
      <c r="N1562" t="str">
        <f>""</f>
        <v/>
      </c>
      <c r="O1562" t="s">
        <v>5469</v>
      </c>
      <c r="P1562" t="s">
        <v>5473</v>
      </c>
      <c r="R1562" t="s">
        <v>5471</v>
      </c>
      <c r="S1562" t="s">
        <v>36</v>
      </c>
      <c r="T1562" t="str">
        <f t="shared" si="272"/>
        <v>85364</v>
      </c>
      <c r="U1562" t="str">
        <f>""</f>
        <v/>
      </c>
      <c r="V1562" t="s">
        <v>5478</v>
      </c>
      <c r="X1562" t="s">
        <v>5471</v>
      </c>
      <c r="Y1562" t="s">
        <v>36</v>
      </c>
      <c r="Z1562" t="str">
        <f t="shared" si="273"/>
        <v>85364</v>
      </c>
      <c r="AA1562" t="str">
        <f>""</f>
        <v/>
      </c>
      <c r="AB1562" t="s">
        <v>516</v>
      </c>
    </row>
    <row r="1563" spans="1:28" x14ac:dyDescent="0.25">
      <c r="A1563">
        <v>4499</v>
      </c>
      <c r="B1563" t="str">
        <f t="shared" si="270"/>
        <v>140401000</v>
      </c>
      <c r="C1563" t="s">
        <v>5467</v>
      </c>
      <c r="D1563">
        <v>6152</v>
      </c>
      <c r="E1563" t="str">
        <f>"140401106"</f>
        <v>140401106</v>
      </c>
      <c r="F1563" t="s">
        <v>5479</v>
      </c>
      <c r="G1563" t="s">
        <v>42</v>
      </c>
      <c r="H1563" t="s">
        <v>752</v>
      </c>
      <c r="I1563" t="s">
        <v>5468</v>
      </c>
      <c r="J1563" t="s">
        <v>333</v>
      </c>
      <c r="K1563" t="str">
        <f t="shared" si="271"/>
        <v>9285024360</v>
      </c>
      <c r="L1563" t="str">
        <f>""</f>
        <v/>
      </c>
      <c r="M1563" t="str">
        <f t="shared" si="274"/>
        <v>9285024443</v>
      </c>
      <c r="N1563" t="str">
        <f>""</f>
        <v/>
      </c>
      <c r="O1563" t="s">
        <v>5469</v>
      </c>
      <c r="P1563" t="s">
        <v>5473</v>
      </c>
      <c r="R1563" t="s">
        <v>5471</v>
      </c>
      <c r="S1563" t="s">
        <v>36</v>
      </c>
      <c r="T1563" t="str">
        <f t="shared" si="272"/>
        <v>85364</v>
      </c>
      <c r="U1563" t="str">
        <f>""</f>
        <v/>
      </c>
      <c r="V1563" t="s">
        <v>5480</v>
      </c>
      <c r="X1563" t="s">
        <v>5471</v>
      </c>
      <c r="Y1563" t="s">
        <v>36</v>
      </c>
      <c r="Z1563" t="str">
        <f t="shared" si="273"/>
        <v>85364</v>
      </c>
      <c r="AA1563" t="str">
        <f>""</f>
        <v/>
      </c>
      <c r="AB1563" t="s">
        <v>516</v>
      </c>
    </row>
    <row r="1564" spans="1:28" x14ac:dyDescent="0.25">
      <c r="A1564">
        <v>4499</v>
      </c>
      <c r="B1564" t="str">
        <f t="shared" si="270"/>
        <v>140401000</v>
      </c>
      <c r="C1564" t="s">
        <v>5467</v>
      </c>
      <c r="D1564">
        <v>6153</v>
      </c>
      <c r="E1564" t="str">
        <f>"140401107"</f>
        <v>140401107</v>
      </c>
      <c r="F1564" t="s">
        <v>5481</v>
      </c>
      <c r="G1564" t="s">
        <v>42</v>
      </c>
      <c r="H1564" t="s">
        <v>752</v>
      </c>
      <c r="I1564" t="s">
        <v>5468</v>
      </c>
      <c r="J1564" t="s">
        <v>333</v>
      </c>
      <c r="K1564" t="str">
        <f t="shared" si="271"/>
        <v>9285024360</v>
      </c>
      <c r="L1564" t="str">
        <f>""</f>
        <v/>
      </c>
      <c r="M1564" t="str">
        <f t="shared" si="274"/>
        <v>9285024443</v>
      </c>
      <c r="N1564" t="str">
        <f>""</f>
        <v/>
      </c>
      <c r="O1564" t="s">
        <v>5469</v>
      </c>
      <c r="P1564" t="s">
        <v>5473</v>
      </c>
      <c r="R1564" t="s">
        <v>5471</v>
      </c>
      <c r="S1564" t="s">
        <v>36</v>
      </c>
      <c r="T1564" t="str">
        <f t="shared" si="272"/>
        <v>85364</v>
      </c>
      <c r="U1564" t="str">
        <f>""</f>
        <v/>
      </c>
      <c r="V1564" t="s">
        <v>5482</v>
      </c>
      <c r="X1564" t="s">
        <v>5471</v>
      </c>
      <c r="Y1564" t="s">
        <v>36</v>
      </c>
      <c r="Z1564" t="str">
        <f t="shared" si="273"/>
        <v>85364</v>
      </c>
      <c r="AA1564" t="str">
        <f>""</f>
        <v/>
      </c>
      <c r="AB1564" t="s">
        <v>516</v>
      </c>
    </row>
    <row r="1565" spans="1:28" x14ac:dyDescent="0.25">
      <c r="A1565">
        <v>4499</v>
      </c>
      <c r="B1565" t="str">
        <f t="shared" si="270"/>
        <v>140401000</v>
      </c>
      <c r="C1565" t="s">
        <v>5467</v>
      </c>
      <c r="D1565">
        <v>6154</v>
      </c>
      <c r="E1565" t="str">
        <f>"140401108"</f>
        <v>140401108</v>
      </c>
      <c r="F1565" t="s">
        <v>5483</v>
      </c>
      <c r="G1565" t="s">
        <v>42</v>
      </c>
      <c r="H1565" t="s">
        <v>752</v>
      </c>
      <c r="I1565" t="s">
        <v>5468</v>
      </c>
      <c r="J1565" t="s">
        <v>333</v>
      </c>
      <c r="K1565" t="str">
        <f t="shared" si="271"/>
        <v>9285024360</v>
      </c>
      <c r="L1565" t="str">
        <f>""</f>
        <v/>
      </c>
      <c r="M1565" t="str">
        <f t="shared" si="274"/>
        <v>9285024443</v>
      </c>
      <c r="N1565" t="str">
        <f>""</f>
        <v/>
      </c>
      <c r="O1565" t="s">
        <v>5469</v>
      </c>
      <c r="P1565" t="s">
        <v>5473</v>
      </c>
      <c r="R1565" t="s">
        <v>5471</v>
      </c>
      <c r="S1565" t="s">
        <v>36</v>
      </c>
      <c r="T1565" t="str">
        <f t="shared" si="272"/>
        <v>85364</v>
      </c>
      <c r="U1565" t="str">
        <f>""</f>
        <v/>
      </c>
      <c r="V1565" t="s">
        <v>5484</v>
      </c>
      <c r="X1565" t="s">
        <v>5471</v>
      </c>
      <c r="Y1565" t="s">
        <v>36</v>
      </c>
      <c r="Z1565" t="str">
        <f t="shared" si="273"/>
        <v>85364</v>
      </c>
      <c r="AA1565" t="str">
        <f>""</f>
        <v/>
      </c>
      <c r="AB1565" t="s">
        <v>516</v>
      </c>
    </row>
    <row r="1566" spans="1:28" x14ac:dyDescent="0.25">
      <c r="A1566">
        <v>4499</v>
      </c>
      <c r="B1566" t="str">
        <f t="shared" si="270"/>
        <v>140401000</v>
      </c>
      <c r="C1566" t="s">
        <v>5467</v>
      </c>
      <c r="D1566">
        <v>6155</v>
      </c>
      <c r="E1566" t="str">
        <f>"140401109"</f>
        <v>140401109</v>
      </c>
      <c r="F1566" t="s">
        <v>5485</v>
      </c>
      <c r="G1566" t="s">
        <v>42</v>
      </c>
      <c r="H1566" t="s">
        <v>752</v>
      </c>
      <c r="I1566" t="s">
        <v>5468</v>
      </c>
      <c r="J1566" t="s">
        <v>333</v>
      </c>
      <c r="K1566" t="str">
        <f t="shared" si="271"/>
        <v>9285024360</v>
      </c>
      <c r="L1566" t="str">
        <f>""</f>
        <v/>
      </c>
      <c r="M1566" t="str">
        <f t="shared" si="274"/>
        <v>9285024443</v>
      </c>
      <c r="N1566" t="str">
        <f>""</f>
        <v/>
      </c>
      <c r="O1566" t="s">
        <v>5469</v>
      </c>
      <c r="P1566" t="s">
        <v>5486</v>
      </c>
      <c r="R1566" t="s">
        <v>5471</v>
      </c>
      <c r="S1566" t="s">
        <v>36</v>
      </c>
      <c r="T1566" t="str">
        <f t="shared" si="272"/>
        <v>85364</v>
      </c>
      <c r="U1566" t="str">
        <f>""</f>
        <v/>
      </c>
      <c r="V1566" t="s">
        <v>5487</v>
      </c>
      <c r="X1566" t="s">
        <v>5471</v>
      </c>
      <c r="Y1566" t="s">
        <v>36</v>
      </c>
      <c r="Z1566" t="str">
        <f t="shared" si="273"/>
        <v>85364</v>
      </c>
      <c r="AA1566" t="str">
        <f>""</f>
        <v/>
      </c>
      <c r="AB1566" t="s">
        <v>516</v>
      </c>
    </row>
    <row r="1567" spans="1:28" x14ac:dyDescent="0.25">
      <c r="A1567">
        <v>4499</v>
      </c>
      <c r="B1567" t="str">
        <f t="shared" si="270"/>
        <v>140401000</v>
      </c>
      <c r="C1567" t="s">
        <v>5467</v>
      </c>
      <c r="D1567">
        <v>6156</v>
      </c>
      <c r="E1567" t="str">
        <f>"140401110"</f>
        <v>140401110</v>
      </c>
      <c r="F1567" t="s">
        <v>5488</v>
      </c>
      <c r="G1567" t="s">
        <v>42</v>
      </c>
      <c r="H1567" t="s">
        <v>752</v>
      </c>
      <c r="I1567" t="s">
        <v>5468</v>
      </c>
      <c r="J1567" t="s">
        <v>333</v>
      </c>
      <c r="K1567" t="str">
        <f t="shared" si="271"/>
        <v>9285024360</v>
      </c>
      <c r="L1567" t="str">
        <f>""</f>
        <v/>
      </c>
      <c r="M1567" t="str">
        <f t="shared" si="274"/>
        <v>9285024443</v>
      </c>
      <c r="N1567" t="str">
        <f>""</f>
        <v/>
      </c>
      <c r="O1567" t="s">
        <v>5469</v>
      </c>
      <c r="P1567" t="s">
        <v>5473</v>
      </c>
      <c r="R1567" t="s">
        <v>5471</v>
      </c>
      <c r="S1567" t="s">
        <v>36</v>
      </c>
      <c r="T1567" t="str">
        <f t="shared" si="272"/>
        <v>85364</v>
      </c>
      <c r="U1567" t="str">
        <f>""</f>
        <v/>
      </c>
      <c r="V1567" t="s">
        <v>5489</v>
      </c>
      <c r="X1567" t="s">
        <v>5471</v>
      </c>
      <c r="Y1567" t="s">
        <v>36</v>
      </c>
      <c r="Z1567" t="str">
        <f t="shared" si="273"/>
        <v>85364</v>
      </c>
      <c r="AA1567" t="str">
        <f>""</f>
        <v/>
      </c>
      <c r="AB1567" t="s">
        <v>516</v>
      </c>
    </row>
    <row r="1568" spans="1:28" x14ac:dyDescent="0.25">
      <c r="A1568">
        <v>4499</v>
      </c>
      <c r="B1568" t="str">
        <f t="shared" si="270"/>
        <v>140401000</v>
      </c>
      <c r="C1568" t="s">
        <v>5467</v>
      </c>
      <c r="D1568">
        <v>6158</v>
      </c>
      <c r="E1568" t="str">
        <f>"140401112"</f>
        <v>140401112</v>
      </c>
      <c r="F1568" t="s">
        <v>5490</v>
      </c>
      <c r="G1568" t="s">
        <v>42</v>
      </c>
      <c r="H1568" t="s">
        <v>752</v>
      </c>
      <c r="I1568" t="s">
        <v>5468</v>
      </c>
      <c r="J1568" t="s">
        <v>333</v>
      </c>
      <c r="K1568" t="str">
        <f t="shared" si="271"/>
        <v>9285024360</v>
      </c>
      <c r="L1568" t="str">
        <f>""</f>
        <v/>
      </c>
      <c r="M1568" t="str">
        <f t="shared" si="274"/>
        <v>9285024443</v>
      </c>
      <c r="N1568" t="str">
        <f>""</f>
        <v/>
      </c>
      <c r="O1568" t="s">
        <v>5469</v>
      </c>
      <c r="P1568" t="s">
        <v>5473</v>
      </c>
      <c r="R1568" t="s">
        <v>5471</v>
      </c>
      <c r="S1568" t="s">
        <v>36</v>
      </c>
      <c r="T1568" t="str">
        <f t="shared" si="272"/>
        <v>85364</v>
      </c>
      <c r="U1568" t="str">
        <f>""</f>
        <v/>
      </c>
      <c r="V1568" t="s">
        <v>5491</v>
      </c>
      <c r="X1568" t="s">
        <v>5471</v>
      </c>
      <c r="Y1568" t="s">
        <v>36</v>
      </c>
      <c r="Z1568" t="str">
        <f t="shared" si="273"/>
        <v>85364</v>
      </c>
      <c r="AA1568" t="str">
        <f>""</f>
        <v/>
      </c>
      <c r="AB1568" t="s">
        <v>516</v>
      </c>
    </row>
    <row r="1569" spans="1:28" x14ac:dyDescent="0.25">
      <c r="A1569">
        <v>4499</v>
      </c>
      <c r="B1569" t="str">
        <f t="shared" si="270"/>
        <v>140401000</v>
      </c>
      <c r="C1569" t="s">
        <v>5467</v>
      </c>
      <c r="D1569">
        <v>6159</v>
      </c>
      <c r="E1569" t="str">
        <f>"140401113"</f>
        <v>140401113</v>
      </c>
      <c r="F1569" t="s">
        <v>5492</v>
      </c>
      <c r="G1569" t="s">
        <v>42</v>
      </c>
      <c r="H1569" t="s">
        <v>752</v>
      </c>
      <c r="I1569" t="s">
        <v>5468</v>
      </c>
      <c r="J1569" t="s">
        <v>333</v>
      </c>
      <c r="K1569" t="str">
        <f t="shared" si="271"/>
        <v>9285024360</v>
      </c>
      <c r="L1569" t="str">
        <f>""</f>
        <v/>
      </c>
      <c r="M1569" t="str">
        <f t="shared" si="274"/>
        <v>9285024443</v>
      </c>
      <c r="N1569" t="str">
        <f>""</f>
        <v/>
      </c>
      <c r="O1569" t="s">
        <v>5469</v>
      </c>
      <c r="P1569" t="s">
        <v>5473</v>
      </c>
      <c r="R1569" t="s">
        <v>5471</v>
      </c>
      <c r="S1569" t="s">
        <v>36</v>
      </c>
      <c r="T1569" t="str">
        <f t="shared" si="272"/>
        <v>85364</v>
      </c>
      <c r="U1569" t="str">
        <f>""</f>
        <v/>
      </c>
      <c r="V1569" t="s">
        <v>5493</v>
      </c>
      <c r="X1569" t="s">
        <v>5471</v>
      </c>
      <c r="Y1569" t="s">
        <v>36</v>
      </c>
      <c r="Z1569" t="str">
        <f t="shared" si="273"/>
        <v>85364</v>
      </c>
      <c r="AA1569" t="str">
        <f>""</f>
        <v/>
      </c>
      <c r="AB1569" t="s">
        <v>516</v>
      </c>
    </row>
    <row r="1570" spans="1:28" x14ac:dyDescent="0.25">
      <c r="A1570">
        <v>4499</v>
      </c>
      <c r="B1570" t="str">
        <f t="shared" si="270"/>
        <v>140401000</v>
      </c>
      <c r="C1570" t="s">
        <v>5467</v>
      </c>
      <c r="D1570">
        <v>6160</v>
      </c>
      <c r="E1570" t="str">
        <f>"140401121"</f>
        <v>140401121</v>
      </c>
      <c r="F1570" t="s">
        <v>5494</v>
      </c>
      <c r="G1570" t="s">
        <v>42</v>
      </c>
      <c r="H1570" t="s">
        <v>752</v>
      </c>
      <c r="I1570" t="s">
        <v>5468</v>
      </c>
      <c r="J1570" t="s">
        <v>333</v>
      </c>
      <c r="K1570" t="str">
        <f t="shared" si="271"/>
        <v>9285024360</v>
      </c>
      <c r="L1570" t="str">
        <f>""</f>
        <v/>
      </c>
      <c r="M1570" t="str">
        <f t="shared" si="274"/>
        <v>9285024443</v>
      </c>
      <c r="N1570" t="str">
        <f>""</f>
        <v/>
      </c>
      <c r="O1570" t="s">
        <v>5469</v>
      </c>
      <c r="P1570" t="s">
        <v>5473</v>
      </c>
      <c r="R1570" t="s">
        <v>5471</v>
      </c>
      <c r="S1570" t="s">
        <v>36</v>
      </c>
      <c r="T1570" t="str">
        <f t="shared" si="272"/>
        <v>85364</v>
      </c>
      <c r="U1570" t="str">
        <f>""</f>
        <v/>
      </c>
      <c r="V1570" t="s">
        <v>5495</v>
      </c>
      <c r="X1570" t="s">
        <v>5471</v>
      </c>
      <c r="Y1570" t="s">
        <v>36</v>
      </c>
      <c r="Z1570" t="str">
        <f t="shared" si="273"/>
        <v>85364</v>
      </c>
      <c r="AA1570" t="str">
        <f>""</f>
        <v/>
      </c>
      <c r="AB1570" t="s">
        <v>516</v>
      </c>
    </row>
    <row r="1571" spans="1:28" x14ac:dyDescent="0.25">
      <c r="A1571">
        <v>4499</v>
      </c>
      <c r="B1571" t="str">
        <f t="shared" si="270"/>
        <v>140401000</v>
      </c>
      <c r="C1571" t="s">
        <v>5467</v>
      </c>
      <c r="D1571">
        <v>6161</v>
      </c>
      <c r="E1571" t="str">
        <f>"140401122"</f>
        <v>140401122</v>
      </c>
      <c r="F1571" t="s">
        <v>5496</v>
      </c>
      <c r="G1571" t="s">
        <v>42</v>
      </c>
      <c r="H1571" t="s">
        <v>752</v>
      </c>
      <c r="I1571" t="s">
        <v>5468</v>
      </c>
      <c r="J1571" t="s">
        <v>333</v>
      </c>
      <c r="K1571" t="str">
        <f t="shared" si="271"/>
        <v>9285024360</v>
      </c>
      <c r="L1571" t="str">
        <f>""</f>
        <v/>
      </c>
      <c r="M1571" t="str">
        <f t="shared" si="274"/>
        <v>9285024443</v>
      </c>
      <c r="N1571" t="str">
        <f>""</f>
        <v/>
      </c>
      <c r="O1571" t="s">
        <v>5469</v>
      </c>
      <c r="P1571" t="s">
        <v>5473</v>
      </c>
      <c r="R1571" t="s">
        <v>5471</v>
      </c>
      <c r="S1571" t="s">
        <v>36</v>
      </c>
      <c r="T1571" t="str">
        <f t="shared" si="272"/>
        <v>85364</v>
      </c>
      <c r="U1571" t="str">
        <f>""</f>
        <v/>
      </c>
      <c r="V1571" t="s">
        <v>5497</v>
      </c>
      <c r="X1571" t="s">
        <v>5471</v>
      </c>
      <c r="Y1571" t="s">
        <v>36</v>
      </c>
      <c r="Z1571" t="str">
        <f t="shared" si="273"/>
        <v>85364</v>
      </c>
      <c r="AA1571" t="str">
        <f>""</f>
        <v/>
      </c>
      <c r="AB1571" t="s">
        <v>516</v>
      </c>
    </row>
    <row r="1572" spans="1:28" x14ac:dyDescent="0.25">
      <c r="A1572">
        <v>4499</v>
      </c>
      <c r="B1572" t="str">
        <f t="shared" si="270"/>
        <v>140401000</v>
      </c>
      <c r="C1572" t="s">
        <v>5467</v>
      </c>
      <c r="D1572">
        <v>6162</v>
      </c>
      <c r="E1572" t="str">
        <f>"140401123"</f>
        <v>140401123</v>
      </c>
      <c r="F1572" t="s">
        <v>5498</v>
      </c>
      <c r="G1572" t="s">
        <v>42</v>
      </c>
      <c r="H1572" t="s">
        <v>752</v>
      </c>
      <c r="I1572" t="s">
        <v>5468</v>
      </c>
      <c r="J1572" t="s">
        <v>333</v>
      </c>
      <c r="K1572" t="str">
        <f t="shared" si="271"/>
        <v>9285024360</v>
      </c>
      <c r="L1572" t="str">
        <f>""</f>
        <v/>
      </c>
      <c r="M1572" t="str">
        <f t="shared" si="274"/>
        <v>9285024443</v>
      </c>
      <c r="N1572" t="str">
        <f>""</f>
        <v/>
      </c>
      <c r="O1572" t="s">
        <v>5469</v>
      </c>
      <c r="P1572" t="s">
        <v>5473</v>
      </c>
      <c r="R1572" t="s">
        <v>5471</v>
      </c>
      <c r="S1572" t="s">
        <v>36</v>
      </c>
      <c r="T1572" t="str">
        <f t="shared" si="272"/>
        <v>85364</v>
      </c>
      <c r="U1572" t="str">
        <f>""</f>
        <v/>
      </c>
      <c r="V1572" t="s">
        <v>5499</v>
      </c>
      <c r="X1572" t="s">
        <v>5471</v>
      </c>
      <c r="Y1572" t="s">
        <v>36</v>
      </c>
      <c r="Z1572" t="str">
        <f t="shared" si="273"/>
        <v>85364</v>
      </c>
      <c r="AA1572" t="str">
        <f>""</f>
        <v/>
      </c>
      <c r="AB1572" t="s">
        <v>516</v>
      </c>
    </row>
    <row r="1573" spans="1:28" x14ac:dyDescent="0.25">
      <c r="A1573">
        <v>4499</v>
      </c>
      <c r="B1573" t="str">
        <f t="shared" si="270"/>
        <v>140401000</v>
      </c>
      <c r="C1573" t="s">
        <v>5467</v>
      </c>
      <c r="D1573">
        <v>6163</v>
      </c>
      <c r="E1573" t="str">
        <f>"140401124"</f>
        <v>140401124</v>
      </c>
      <c r="F1573" t="s">
        <v>5500</v>
      </c>
      <c r="G1573" t="s">
        <v>42</v>
      </c>
      <c r="H1573" t="s">
        <v>752</v>
      </c>
      <c r="I1573" t="s">
        <v>5468</v>
      </c>
      <c r="J1573" t="s">
        <v>333</v>
      </c>
      <c r="K1573" t="str">
        <f t="shared" si="271"/>
        <v>9285024360</v>
      </c>
      <c r="L1573" t="str">
        <f>""</f>
        <v/>
      </c>
      <c r="M1573" t="str">
        <f t="shared" si="274"/>
        <v>9285024443</v>
      </c>
      <c r="N1573" t="str">
        <f>""</f>
        <v/>
      </c>
      <c r="O1573" t="s">
        <v>5469</v>
      </c>
      <c r="P1573" t="s">
        <v>5473</v>
      </c>
      <c r="R1573" t="s">
        <v>5471</v>
      </c>
      <c r="S1573" t="s">
        <v>36</v>
      </c>
      <c r="T1573" t="str">
        <f t="shared" si="272"/>
        <v>85364</v>
      </c>
      <c r="U1573" t="str">
        <f>""</f>
        <v/>
      </c>
      <c r="V1573" t="s">
        <v>5501</v>
      </c>
      <c r="X1573" t="s">
        <v>5471</v>
      </c>
      <c r="Y1573" t="s">
        <v>36</v>
      </c>
      <c r="Z1573" t="str">
        <f t="shared" si="273"/>
        <v>85364</v>
      </c>
      <c r="AA1573" t="str">
        <f>""</f>
        <v/>
      </c>
      <c r="AB1573" t="s">
        <v>516</v>
      </c>
    </row>
    <row r="1574" spans="1:28" x14ac:dyDescent="0.25">
      <c r="A1574">
        <v>4499</v>
      </c>
      <c r="B1574" t="str">
        <f t="shared" si="270"/>
        <v>140401000</v>
      </c>
      <c r="C1574" t="s">
        <v>5467</v>
      </c>
      <c r="D1574">
        <v>85840</v>
      </c>
      <c r="E1574" t="str">
        <f>"140401125"</f>
        <v>140401125</v>
      </c>
      <c r="F1574" t="s">
        <v>5502</v>
      </c>
      <c r="G1574" t="s">
        <v>42</v>
      </c>
      <c r="H1574" t="s">
        <v>752</v>
      </c>
      <c r="I1574" t="s">
        <v>5468</v>
      </c>
      <c r="J1574" t="s">
        <v>333</v>
      </c>
      <c r="K1574" t="str">
        <f t="shared" si="271"/>
        <v>9285024360</v>
      </c>
      <c r="L1574" t="str">
        <f>""</f>
        <v/>
      </c>
      <c r="M1574" t="str">
        <f t="shared" si="274"/>
        <v>9285024443</v>
      </c>
      <c r="N1574" t="str">
        <f>""</f>
        <v/>
      </c>
      <c r="O1574" t="s">
        <v>5469</v>
      </c>
      <c r="P1574" t="s">
        <v>5473</v>
      </c>
      <c r="R1574" t="s">
        <v>5471</v>
      </c>
      <c r="S1574" t="s">
        <v>36</v>
      </c>
      <c r="T1574" t="str">
        <f t="shared" si="272"/>
        <v>85364</v>
      </c>
      <c r="U1574" t="str">
        <f>""</f>
        <v/>
      </c>
      <c r="V1574" t="s">
        <v>5503</v>
      </c>
      <c r="X1574" t="s">
        <v>5471</v>
      </c>
      <c r="Y1574" t="s">
        <v>36</v>
      </c>
      <c r="Z1574" t="str">
        <f t="shared" si="273"/>
        <v>85364</v>
      </c>
      <c r="AA1574" t="str">
        <f>""</f>
        <v/>
      </c>
      <c r="AB1574" t="s">
        <v>516</v>
      </c>
    </row>
    <row r="1575" spans="1:28" x14ac:dyDescent="0.25">
      <c r="A1575">
        <v>4499</v>
      </c>
      <c r="B1575" t="str">
        <f t="shared" si="270"/>
        <v>140401000</v>
      </c>
      <c r="C1575" t="s">
        <v>5467</v>
      </c>
      <c r="D1575">
        <v>87622</v>
      </c>
      <c r="E1575" t="str">
        <f>"140401114"</f>
        <v>140401114</v>
      </c>
      <c r="F1575" t="s">
        <v>2014</v>
      </c>
      <c r="G1575" t="s">
        <v>42</v>
      </c>
      <c r="H1575" t="s">
        <v>752</v>
      </c>
      <c r="I1575" t="s">
        <v>5468</v>
      </c>
      <c r="J1575" t="s">
        <v>333</v>
      </c>
      <c r="K1575" t="str">
        <f t="shared" si="271"/>
        <v>9285024360</v>
      </c>
      <c r="L1575" t="str">
        <f>""</f>
        <v/>
      </c>
      <c r="M1575" t="str">
        <f t="shared" si="274"/>
        <v>9285024443</v>
      </c>
      <c r="N1575" t="str">
        <f>""</f>
        <v/>
      </c>
      <c r="O1575" t="s">
        <v>5469</v>
      </c>
      <c r="P1575" t="s">
        <v>5504</v>
      </c>
      <c r="R1575" t="s">
        <v>5471</v>
      </c>
      <c r="S1575" t="s">
        <v>36</v>
      </c>
      <c r="T1575" t="str">
        <f t="shared" si="272"/>
        <v>85364</v>
      </c>
      <c r="U1575" t="str">
        <f>""</f>
        <v/>
      </c>
      <c r="V1575" t="s">
        <v>5505</v>
      </c>
      <c r="X1575" t="s">
        <v>5471</v>
      </c>
      <c r="Y1575" t="s">
        <v>36</v>
      </c>
      <c r="Z1575" t="str">
        <f>"85365"</f>
        <v>85365</v>
      </c>
      <c r="AA1575" t="str">
        <f>""</f>
        <v/>
      </c>
      <c r="AB1575" t="s">
        <v>516</v>
      </c>
    </row>
    <row r="1576" spans="1:28" x14ac:dyDescent="0.25">
      <c r="A1576">
        <v>4500</v>
      </c>
      <c r="B1576" t="str">
        <f t="shared" ref="B1576:B1581" si="275">"140411000"</f>
        <v>140411000</v>
      </c>
      <c r="C1576" t="s">
        <v>5506</v>
      </c>
      <c r="D1576">
        <v>0</v>
      </c>
      <c r="E1576" t="str">
        <f>""</f>
        <v/>
      </c>
      <c r="G1576" t="s">
        <v>29</v>
      </c>
      <c r="H1576" t="s">
        <v>5507</v>
      </c>
      <c r="I1576" t="s">
        <v>5508</v>
      </c>
      <c r="J1576" t="s">
        <v>32</v>
      </c>
      <c r="K1576" t="str">
        <f>"9283416411"</f>
        <v>9283416411</v>
      </c>
      <c r="L1576" t="str">
        <f>""</f>
        <v/>
      </c>
      <c r="M1576" t="str">
        <f>""</f>
        <v/>
      </c>
      <c r="N1576" t="str">
        <f>""</f>
        <v/>
      </c>
      <c r="O1576" t="s">
        <v>5509</v>
      </c>
      <c r="P1576" t="s">
        <v>5510</v>
      </c>
      <c r="R1576" t="s">
        <v>4747</v>
      </c>
      <c r="S1576" t="s">
        <v>36</v>
      </c>
      <c r="T1576" t="str">
        <f t="shared" ref="T1576:T1581" si="276">"85350"</f>
        <v>85350</v>
      </c>
      <c r="U1576" t="str">
        <f>"3200"</f>
        <v>3200</v>
      </c>
      <c r="V1576" t="s">
        <v>5511</v>
      </c>
      <c r="X1576" t="s">
        <v>4747</v>
      </c>
      <c r="Y1576" t="s">
        <v>36</v>
      </c>
      <c r="Z1576" t="str">
        <f t="shared" ref="Z1576:Z1581" si="277">"85350"</f>
        <v>85350</v>
      </c>
      <c r="AA1576" t="str">
        <f>"3200"</f>
        <v>3200</v>
      </c>
      <c r="AB1576" t="s">
        <v>282</v>
      </c>
    </row>
    <row r="1577" spans="1:28" x14ac:dyDescent="0.25">
      <c r="A1577">
        <v>4500</v>
      </c>
      <c r="B1577" t="str">
        <f t="shared" si="275"/>
        <v>140411000</v>
      </c>
      <c r="C1577" t="s">
        <v>5506</v>
      </c>
      <c r="D1577">
        <v>6164</v>
      </c>
      <c r="E1577" t="str">
        <f>"140411101"</f>
        <v>140411101</v>
      </c>
      <c r="F1577" t="s">
        <v>5512</v>
      </c>
      <c r="G1577" t="s">
        <v>42</v>
      </c>
      <c r="H1577" t="s">
        <v>5513</v>
      </c>
      <c r="I1577" t="s">
        <v>2435</v>
      </c>
      <c r="J1577" t="s">
        <v>315</v>
      </c>
      <c r="K1577" t="str">
        <f>"9283416120"</f>
        <v>9283416120</v>
      </c>
      <c r="L1577" t="str">
        <f>""</f>
        <v/>
      </c>
      <c r="M1577" t="str">
        <f>"9283416190"</f>
        <v>9283416190</v>
      </c>
      <c r="N1577" t="str">
        <f>""</f>
        <v/>
      </c>
      <c r="O1577" t="s">
        <v>5514</v>
      </c>
      <c r="P1577" t="s">
        <v>5515</v>
      </c>
      <c r="R1577" t="s">
        <v>4747</v>
      </c>
      <c r="S1577" t="s">
        <v>36</v>
      </c>
      <c r="T1577" t="str">
        <f t="shared" si="276"/>
        <v>85350</v>
      </c>
      <c r="U1577" t="str">
        <f>""</f>
        <v/>
      </c>
      <c r="V1577" t="s">
        <v>5516</v>
      </c>
      <c r="X1577" t="s">
        <v>4747</v>
      </c>
      <c r="Y1577" t="s">
        <v>36</v>
      </c>
      <c r="Z1577" t="str">
        <f t="shared" si="277"/>
        <v>85350</v>
      </c>
      <c r="AA1577" t="str">
        <f>""</f>
        <v/>
      </c>
      <c r="AB1577" t="s">
        <v>282</v>
      </c>
    </row>
    <row r="1578" spans="1:28" x14ac:dyDescent="0.25">
      <c r="A1578">
        <v>4500</v>
      </c>
      <c r="B1578" t="str">
        <f t="shared" si="275"/>
        <v>140411000</v>
      </c>
      <c r="C1578" t="s">
        <v>5506</v>
      </c>
      <c r="D1578">
        <v>6165</v>
      </c>
      <c r="E1578" t="str">
        <f>"140411102"</f>
        <v>140411102</v>
      </c>
      <c r="F1578" t="s">
        <v>5517</v>
      </c>
      <c r="G1578" t="s">
        <v>42</v>
      </c>
      <c r="H1578" t="s">
        <v>398</v>
      </c>
      <c r="I1578" t="s">
        <v>5518</v>
      </c>
      <c r="J1578" t="s">
        <v>315</v>
      </c>
      <c r="K1578" t="str">
        <f>"9283416220"</f>
        <v>9283416220</v>
      </c>
      <c r="L1578" t="str">
        <f>""</f>
        <v/>
      </c>
      <c r="M1578" t="str">
        <f>"9283416290"</f>
        <v>9283416290</v>
      </c>
      <c r="N1578" t="str">
        <f>""</f>
        <v/>
      </c>
      <c r="O1578" t="s">
        <v>5519</v>
      </c>
      <c r="P1578" t="s">
        <v>5515</v>
      </c>
      <c r="R1578" t="s">
        <v>4747</v>
      </c>
      <c r="S1578" t="s">
        <v>36</v>
      </c>
      <c r="T1578" t="str">
        <f t="shared" si="276"/>
        <v>85350</v>
      </c>
      <c r="U1578" t="str">
        <f>"3200"</f>
        <v>3200</v>
      </c>
      <c r="V1578" t="s">
        <v>5520</v>
      </c>
      <c r="X1578" t="s">
        <v>4747</v>
      </c>
      <c r="Y1578" t="s">
        <v>36</v>
      </c>
      <c r="Z1578" t="str">
        <f t="shared" si="277"/>
        <v>85350</v>
      </c>
      <c r="AA1578" t="str">
        <f>""</f>
        <v/>
      </c>
      <c r="AB1578" t="s">
        <v>282</v>
      </c>
    </row>
    <row r="1579" spans="1:28" x14ac:dyDescent="0.25">
      <c r="A1579">
        <v>4500</v>
      </c>
      <c r="B1579" t="str">
        <f t="shared" si="275"/>
        <v>140411000</v>
      </c>
      <c r="C1579" t="s">
        <v>5506</v>
      </c>
      <c r="D1579">
        <v>6166</v>
      </c>
      <c r="E1579" t="str">
        <f>"140411103"</f>
        <v>140411103</v>
      </c>
      <c r="F1579" t="s">
        <v>5521</v>
      </c>
      <c r="G1579" t="s">
        <v>42</v>
      </c>
      <c r="H1579" t="s">
        <v>2439</v>
      </c>
      <c r="I1579" t="s">
        <v>5522</v>
      </c>
      <c r="J1579" t="s">
        <v>315</v>
      </c>
      <c r="K1579" t="str">
        <f>"9283416320"</f>
        <v>9283416320</v>
      </c>
      <c r="L1579" t="str">
        <f>""</f>
        <v/>
      </c>
      <c r="M1579" t="str">
        <f>"9283416390"</f>
        <v>9283416390</v>
      </c>
      <c r="N1579" t="str">
        <f>""</f>
        <v/>
      </c>
      <c r="O1579" t="s">
        <v>5523</v>
      </c>
      <c r="P1579" t="s">
        <v>5524</v>
      </c>
      <c r="R1579" t="s">
        <v>4747</v>
      </c>
      <c r="S1579" t="s">
        <v>36</v>
      </c>
      <c r="T1579" t="str">
        <f t="shared" si="276"/>
        <v>85350</v>
      </c>
      <c r="U1579" t="str">
        <f>""</f>
        <v/>
      </c>
      <c r="V1579" t="s">
        <v>5525</v>
      </c>
      <c r="X1579" t="s">
        <v>4747</v>
      </c>
      <c r="Y1579" t="s">
        <v>36</v>
      </c>
      <c r="Z1579" t="str">
        <f t="shared" si="277"/>
        <v>85350</v>
      </c>
      <c r="AA1579" t="str">
        <f>""</f>
        <v/>
      </c>
      <c r="AB1579" t="s">
        <v>282</v>
      </c>
    </row>
    <row r="1580" spans="1:28" x14ac:dyDescent="0.25">
      <c r="A1580">
        <v>4500</v>
      </c>
      <c r="B1580" t="str">
        <f t="shared" si="275"/>
        <v>140411000</v>
      </c>
      <c r="C1580" t="s">
        <v>5506</v>
      </c>
      <c r="D1580">
        <v>6167</v>
      </c>
      <c r="E1580" t="str">
        <f>"140411104"</f>
        <v>140411104</v>
      </c>
      <c r="F1580" t="s">
        <v>5526</v>
      </c>
      <c r="G1580" t="s">
        <v>42</v>
      </c>
      <c r="H1580" t="s">
        <v>1370</v>
      </c>
      <c r="I1580" t="s">
        <v>5527</v>
      </c>
      <c r="J1580" t="s">
        <v>315</v>
      </c>
      <c r="K1580" t="str">
        <f>"9283416420"</f>
        <v>9283416420</v>
      </c>
      <c r="L1580" t="str">
        <f>""</f>
        <v/>
      </c>
      <c r="M1580" t="str">
        <f>"9283416490"</f>
        <v>9283416490</v>
      </c>
      <c r="N1580" t="str">
        <f>""</f>
        <v/>
      </c>
      <c r="O1580" t="s">
        <v>5528</v>
      </c>
      <c r="P1580" t="s">
        <v>5524</v>
      </c>
      <c r="R1580" t="s">
        <v>4747</v>
      </c>
      <c r="S1580" t="s">
        <v>36</v>
      </c>
      <c r="T1580" t="str">
        <f t="shared" si="276"/>
        <v>85350</v>
      </c>
      <c r="U1580" t="str">
        <f>""</f>
        <v/>
      </c>
      <c r="V1580" t="s">
        <v>5529</v>
      </c>
      <c r="X1580" t="s">
        <v>4747</v>
      </c>
      <c r="Y1580" t="s">
        <v>36</v>
      </c>
      <c r="Z1580" t="str">
        <f t="shared" si="277"/>
        <v>85350</v>
      </c>
      <c r="AA1580" t="str">
        <f>""</f>
        <v/>
      </c>
      <c r="AB1580" t="s">
        <v>282</v>
      </c>
    </row>
    <row r="1581" spans="1:28" x14ac:dyDescent="0.25">
      <c r="A1581">
        <v>4500</v>
      </c>
      <c r="B1581" t="str">
        <f t="shared" si="275"/>
        <v>140411000</v>
      </c>
      <c r="C1581" t="s">
        <v>5506</v>
      </c>
      <c r="D1581">
        <v>87330</v>
      </c>
      <c r="E1581" t="str">
        <f>"140411105"</f>
        <v>140411105</v>
      </c>
      <c r="F1581" t="s">
        <v>5530</v>
      </c>
      <c r="G1581" t="s">
        <v>42</v>
      </c>
      <c r="H1581" t="s">
        <v>2932</v>
      </c>
      <c r="I1581" t="s">
        <v>3598</v>
      </c>
      <c r="J1581" t="s">
        <v>195</v>
      </c>
      <c r="K1581" t="str">
        <f>"9283416720"</f>
        <v>9283416720</v>
      </c>
      <c r="L1581" t="str">
        <f>""</f>
        <v/>
      </c>
      <c r="M1581" t="str">
        <f>"9283416491"</f>
        <v>9283416491</v>
      </c>
      <c r="N1581" t="str">
        <f>""</f>
        <v/>
      </c>
      <c r="O1581" t="s">
        <v>5531</v>
      </c>
      <c r="P1581" t="s">
        <v>5532</v>
      </c>
      <c r="R1581" t="s">
        <v>4747</v>
      </c>
      <c r="S1581" t="s">
        <v>36</v>
      </c>
      <c r="T1581" t="str">
        <f t="shared" si="276"/>
        <v>85350</v>
      </c>
      <c r="U1581" t="str">
        <f>""</f>
        <v/>
      </c>
      <c r="V1581" t="s">
        <v>5533</v>
      </c>
      <c r="X1581" t="s">
        <v>4747</v>
      </c>
      <c r="Y1581" t="s">
        <v>36</v>
      </c>
      <c r="Z1581" t="str">
        <f t="shared" si="277"/>
        <v>85350</v>
      </c>
      <c r="AA1581" t="str">
        <f>""</f>
        <v/>
      </c>
      <c r="AB1581" t="s">
        <v>282</v>
      </c>
    </row>
    <row r="1582" spans="1:28" x14ac:dyDescent="0.25">
      <c r="A1582">
        <v>4501</v>
      </c>
      <c r="B1582" t="str">
        <f t="shared" ref="B1582:B1593" si="278">"140413000"</f>
        <v>140413000</v>
      </c>
      <c r="C1582" t="s">
        <v>5534</v>
      </c>
      <c r="D1582">
        <v>0</v>
      </c>
      <c r="E1582" t="str">
        <f>""</f>
        <v/>
      </c>
      <c r="G1582" t="s">
        <v>29</v>
      </c>
      <c r="H1582" t="s">
        <v>2570</v>
      </c>
      <c r="I1582" t="s">
        <v>5535</v>
      </c>
      <c r="J1582" t="s">
        <v>5536</v>
      </c>
      <c r="K1582" t="str">
        <f t="shared" ref="K1582:K1593" si="279">"9283733911"</f>
        <v>9283733911</v>
      </c>
      <c r="L1582" t="str">
        <f>""</f>
        <v/>
      </c>
      <c r="M1582" t="str">
        <f t="shared" ref="M1582:M1593" si="280">"9283733915"</f>
        <v>9283733915</v>
      </c>
      <c r="N1582" t="str">
        <f>""</f>
        <v/>
      </c>
      <c r="O1582" t="s">
        <v>5537</v>
      </c>
      <c r="P1582" t="s">
        <v>5538</v>
      </c>
      <c r="R1582" t="s">
        <v>5471</v>
      </c>
      <c r="S1582" t="s">
        <v>36</v>
      </c>
      <c r="T1582" t="str">
        <f t="shared" ref="T1582:T1593" si="281">"85364"</f>
        <v>85364</v>
      </c>
      <c r="U1582" t="str">
        <f>""</f>
        <v/>
      </c>
      <c r="V1582" t="s">
        <v>5538</v>
      </c>
      <c r="X1582" t="s">
        <v>5471</v>
      </c>
      <c r="Y1582" t="s">
        <v>36</v>
      </c>
      <c r="Z1582" t="str">
        <f t="shared" ref="Z1582:Z1593" si="282">"85364"</f>
        <v>85364</v>
      </c>
      <c r="AA1582" t="str">
        <f>""</f>
        <v/>
      </c>
      <c r="AB1582" t="s">
        <v>508</v>
      </c>
    </row>
    <row r="1583" spans="1:28" x14ac:dyDescent="0.25">
      <c r="A1583">
        <v>4501</v>
      </c>
      <c r="B1583" t="str">
        <f t="shared" si="278"/>
        <v>140413000</v>
      </c>
      <c r="C1583" t="s">
        <v>5534</v>
      </c>
      <c r="D1583">
        <v>6168</v>
      </c>
      <c r="E1583" t="str">
        <f>"140413101"</f>
        <v>140413101</v>
      </c>
      <c r="F1583" t="s">
        <v>1487</v>
      </c>
      <c r="G1583" t="s">
        <v>42</v>
      </c>
      <c r="H1583" t="s">
        <v>2570</v>
      </c>
      <c r="I1583" t="s">
        <v>5535</v>
      </c>
      <c r="J1583" t="s">
        <v>32</v>
      </c>
      <c r="K1583" t="str">
        <f t="shared" si="279"/>
        <v>9283733911</v>
      </c>
      <c r="L1583" t="str">
        <f>""</f>
        <v/>
      </c>
      <c r="M1583" t="str">
        <f t="shared" si="280"/>
        <v>9283733915</v>
      </c>
      <c r="N1583" t="str">
        <f>""</f>
        <v/>
      </c>
      <c r="O1583" t="s">
        <v>5537</v>
      </c>
      <c r="P1583" t="s">
        <v>5539</v>
      </c>
      <c r="R1583" t="s">
        <v>5471</v>
      </c>
      <c r="S1583" t="s">
        <v>36</v>
      </c>
      <c r="T1583" t="str">
        <f t="shared" si="281"/>
        <v>85364</v>
      </c>
      <c r="U1583" t="str">
        <f>""</f>
        <v/>
      </c>
      <c r="V1583" t="s">
        <v>5540</v>
      </c>
      <c r="X1583" t="s">
        <v>5471</v>
      </c>
      <c r="Y1583" t="s">
        <v>36</v>
      </c>
      <c r="Z1583" t="str">
        <f t="shared" si="282"/>
        <v>85364</v>
      </c>
      <c r="AA1583" t="str">
        <f>""</f>
        <v/>
      </c>
      <c r="AB1583" t="s">
        <v>508</v>
      </c>
    </row>
    <row r="1584" spans="1:28" x14ac:dyDescent="0.25">
      <c r="A1584">
        <v>4501</v>
      </c>
      <c r="B1584" t="str">
        <f t="shared" si="278"/>
        <v>140413000</v>
      </c>
      <c r="C1584" t="s">
        <v>5534</v>
      </c>
      <c r="D1584">
        <v>6169</v>
      </c>
      <c r="E1584" t="str">
        <f>"140413102"</f>
        <v>140413102</v>
      </c>
      <c r="F1584" t="s">
        <v>5541</v>
      </c>
      <c r="G1584" t="s">
        <v>42</v>
      </c>
      <c r="H1584" t="s">
        <v>2570</v>
      </c>
      <c r="I1584" t="s">
        <v>5535</v>
      </c>
      <c r="J1584" t="s">
        <v>32</v>
      </c>
      <c r="K1584" t="str">
        <f t="shared" si="279"/>
        <v>9283733911</v>
      </c>
      <c r="L1584" t="str">
        <f>""</f>
        <v/>
      </c>
      <c r="M1584" t="str">
        <f t="shared" si="280"/>
        <v>9283733915</v>
      </c>
      <c r="N1584" t="str">
        <f>""</f>
        <v/>
      </c>
      <c r="O1584" t="s">
        <v>5537</v>
      </c>
      <c r="P1584" t="s">
        <v>5538</v>
      </c>
      <c r="R1584" t="s">
        <v>5471</v>
      </c>
      <c r="S1584" t="s">
        <v>36</v>
      </c>
      <c r="T1584" t="str">
        <f t="shared" si="281"/>
        <v>85364</v>
      </c>
      <c r="U1584" t="str">
        <f>""</f>
        <v/>
      </c>
      <c r="V1584" t="s">
        <v>5542</v>
      </c>
      <c r="X1584" t="s">
        <v>5471</v>
      </c>
      <c r="Y1584" t="s">
        <v>36</v>
      </c>
      <c r="Z1584" t="str">
        <f t="shared" si="282"/>
        <v>85364</v>
      </c>
      <c r="AA1584" t="str">
        <f>""</f>
        <v/>
      </c>
      <c r="AB1584" t="s">
        <v>508</v>
      </c>
    </row>
    <row r="1585" spans="1:28" x14ac:dyDescent="0.25">
      <c r="A1585">
        <v>4501</v>
      </c>
      <c r="B1585" t="str">
        <f t="shared" si="278"/>
        <v>140413000</v>
      </c>
      <c r="C1585" t="s">
        <v>5534</v>
      </c>
      <c r="D1585">
        <v>6172</v>
      </c>
      <c r="E1585" t="str">
        <f>"140413103"</f>
        <v>140413103</v>
      </c>
      <c r="F1585" t="s">
        <v>5543</v>
      </c>
      <c r="G1585" t="s">
        <v>42</v>
      </c>
      <c r="H1585" t="s">
        <v>2570</v>
      </c>
      <c r="I1585" t="s">
        <v>5535</v>
      </c>
      <c r="J1585" t="s">
        <v>32</v>
      </c>
      <c r="K1585" t="str">
        <f t="shared" si="279"/>
        <v>9283733911</v>
      </c>
      <c r="L1585" t="str">
        <f>""</f>
        <v/>
      </c>
      <c r="M1585" t="str">
        <f t="shared" si="280"/>
        <v>9283733915</v>
      </c>
      <c r="N1585" t="str">
        <f>""</f>
        <v/>
      </c>
      <c r="O1585" t="s">
        <v>5537</v>
      </c>
      <c r="P1585" t="s">
        <v>5538</v>
      </c>
      <c r="R1585" t="s">
        <v>5471</v>
      </c>
      <c r="S1585" t="s">
        <v>36</v>
      </c>
      <c r="T1585" t="str">
        <f t="shared" si="281"/>
        <v>85364</v>
      </c>
      <c r="U1585" t="str">
        <f>""</f>
        <v/>
      </c>
      <c r="V1585" t="s">
        <v>5544</v>
      </c>
      <c r="X1585" t="s">
        <v>5471</v>
      </c>
      <c r="Y1585" t="s">
        <v>36</v>
      </c>
      <c r="Z1585" t="str">
        <f t="shared" si="282"/>
        <v>85364</v>
      </c>
      <c r="AA1585" t="str">
        <f>""</f>
        <v/>
      </c>
      <c r="AB1585" t="s">
        <v>508</v>
      </c>
    </row>
    <row r="1586" spans="1:28" x14ac:dyDescent="0.25">
      <c r="A1586">
        <v>4501</v>
      </c>
      <c r="B1586" t="str">
        <f t="shared" si="278"/>
        <v>140413000</v>
      </c>
      <c r="C1586" t="s">
        <v>5534</v>
      </c>
      <c r="D1586">
        <v>6173</v>
      </c>
      <c r="E1586" t="str">
        <f>"140413104"</f>
        <v>140413104</v>
      </c>
      <c r="F1586" t="s">
        <v>5545</v>
      </c>
      <c r="G1586" t="s">
        <v>42</v>
      </c>
      <c r="H1586" t="s">
        <v>2570</v>
      </c>
      <c r="I1586" t="s">
        <v>5535</v>
      </c>
      <c r="J1586" t="s">
        <v>32</v>
      </c>
      <c r="K1586" t="str">
        <f t="shared" si="279"/>
        <v>9283733911</v>
      </c>
      <c r="L1586" t="str">
        <f>""</f>
        <v/>
      </c>
      <c r="M1586" t="str">
        <f t="shared" si="280"/>
        <v>9283733915</v>
      </c>
      <c r="N1586" t="str">
        <f>""</f>
        <v/>
      </c>
      <c r="O1586" t="s">
        <v>5537</v>
      </c>
      <c r="P1586" t="s">
        <v>5546</v>
      </c>
      <c r="R1586" t="s">
        <v>5471</v>
      </c>
      <c r="S1586" t="s">
        <v>36</v>
      </c>
      <c r="T1586" t="str">
        <f t="shared" si="281"/>
        <v>85364</v>
      </c>
      <c r="U1586" t="str">
        <f>""</f>
        <v/>
      </c>
      <c r="V1586" t="s">
        <v>5547</v>
      </c>
      <c r="X1586" t="s">
        <v>5471</v>
      </c>
      <c r="Y1586" t="s">
        <v>36</v>
      </c>
      <c r="Z1586" t="str">
        <f t="shared" si="282"/>
        <v>85364</v>
      </c>
      <c r="AA1586" t="str">
        <f>""</f>
        <v/>
      </c>
      <c r="AB1586" t="s">
        <v>508</v>
      </c>
    </row>
    <row r="1587" spans="1:28" x14ac:dyDescent="0.25">
      <c r="A1587">
        <v>4501</v>
      </c>
      <c r="B1587" t="str">
        <f t="shared" si="278"/>
        <v>140413000</v>
      </c>
      <c r="C1587" t="s">
        <v>5534</v>
      </c>
      <c r="D1587">
        <v>6174</v>
      </c>
      <c r="E1587" t="str">
        <f>"140413105"</f>
        <v>140413105</v>
      </c>
      <c r="F1587" t="s">
        <v>5548</v>
      </c>
      <c r="G1587" t="s">
        <v>42</v>
      </c>
      <c r="H1587" t="s">
        <v>2570</v>
      </c>
      <c r="I1587" t="s">
        <v>5535</v>
      </c>
      <c r="J1587" t="s">
        <v>32</v>
      </c>
      <c r="K1587" t="str">
        <f t="shared" si="279"/>
        <v>9283733911</v>
      </c>
      <c r="L1587" t="str">
        <f>""</f>
        <v/>
      </c>
      <c r="M1587" t="str">
        <f t="shared" si="280"/>
        <v>9283733915</v>
      </c>
      <c r="N1587" t="str">
        <f>""</f>
        <v/>
      </c>
      <c r="O1587" t="s">
        <v>5537</v>
      </c>
      <c r="P1587" t="s">
        <v>5538</v>
      </c>
      <c r="R1587" t="s">
        <v>5471</v>
      </c>
      <c r="S1587" t="s">
        <v>36</v>
      </c>
      <c r="T1587" t="str">
        <f t="shared" si="281"/>
        <v>85364</v>
      </c>
      <c r="U1587" t="str">
        <f>""</f>
        <v/>
      </c>
      <c r="V1587" t="s">
        <v>5549</v>
      </c>
      <c r="X1587" t="s">
        <v>5471</v>
      </c>
      <c r="Y1587" t="s">
        <v>36</v>
      </c>
      <c r="Z1587" t="str">
        <f t="shared" si="282"/>
        <v>85364</v>
      </c>
      <c r="AA1587" t="str">
        <f>""</f>
        <v/>
      </c>
      <c r="AB1587" t="s">
        <v>508</v>
      </c>
    </row>
    <row r="1588" spans="1:28" x14ac:dyDescent="0.25">
      <c r="A1588">
        <v>4501</v>
      </c>
      <c r="B1588" t="str">
        <f t="shared" si="278"/>
        <v>140413000</v>
      </c>
      <c r="C1588" t="s">
        <v>5534</v>
      </c>
      <c r="D1588">
        <v>6175</v>
      </c>
      <c r="E1588" t="str">
        <f>"140413106"</f>
        <v>140413106</v>
      </c>
      <c r="F1588" t="s">
        <v>5550</v>
      </c>
      <c r="G1588" t="s">
        <v>42</v>
      </c>
      <c r="H1588" t="s">
        <v>2570</v>
      </c>
      <c r="I1588" t="s">
        <v>5535</v>
      </c>
      <c r="J1588" t="s">
        <v>5551</v>
      </c>
      <c r="K1588" t="str">
        <f t="shared" si="279"/>
        <v>9283733911</v>
      </c>
      <c r="L1588" t="str">
        <f>""</f>
        <v/>
      </c>
      <c r="M1588" t="str">
        <f t="shared" si="280"/>
        <v>9283733915</v>
      </c>
      <c r="N1588" t="str">
        <f>""</f>
        <v/>
      </c>
      <c r="O1588" t="s">
        <v>5537</v>
      </c>
      <c r="P1588" t="s">
        <v>5546</v>
      </c>
      <c r="R1588" t="s">
        <v>5471</v>
      </c>
      <c r="S1588" t="s">
        <v>36</v>
      </c>
      <c r="T1588" t="str">
        <f t="shared" si="281"/>
        <v>85364</v>
      </c>
      <c r="U1588" t="str">
        <f>""</f>
        <v/>
      </c>
      <c r="V1588" t="s">
        <v>5552</v>
      </c>
      <c r="X1588" t="s">
        <v>5471</v>
      </c>
      <c r="Y1588" t="s">
        <v>36</v>
      </c>
      <c r="Z1588" t="str">
        <f t="shared" si="282"/>
        <v>85364</v>
      </c>
      <c r="AA1588" t="str">
        <f>""</f>
        <v/>
      </c>
      <c r="AB1588" t="s">
        <v>508</v>
      </c>
    </row>
    <row r="1589" spans="1:28" x14ac:dyDescent="0.25">
      <c r="A1589">
        <v>4501</v>
      </c>
      <c r="B1589" t="str">
        <f t="shared" si="278"/>
        <v>140413000</v>
      </c>
      <c r="C1589" t="s">
        <v>5534</v>
      </c>
      <c r="D1589">
        <v>78935</v>
      </c>
      <c r="E1589" t="str">
        <f>"140413107"</f>
        <v>140413107</v>
      </c>
      <c r="F1589" t="s">
        <v>5553</v>
      </c>
      <c r="G1589" t="s">
        <v>42</v>
      </c>
      <c r="H1589" t="s">
        <v>2570</v>
      </c>
      <c r="I1589" t="s">
        <v>5535</v>
      </c>
      <c r="J1589" t="s">
        <v>32</v>
      </c>
      <c r="K1589" t="str">
        <f t="shared" si="279"/>
        <v>9283733911</v>
      </c>
      <c r="L1589" t="str">
        <f>""</f>
        <v/>
      </c>
      <c r="M1589" t="str">
        <f t="shared" si="280"/>
        <v>9283733915</v>
      </c>
      <c r="N1589" t="str">
        <f>""</f>
        <v/>
      </c>
      <c r="O1589" t="s">
        <v>5537</v>
      </c>
      <c r="P1589" t="s">
        <v>5538</v>
      </c>
      <c r="R1589" t="s">
        <v>5471</v>
      </c>
      <c r="S1589" t="s">
        <v>36</v>
      </c>
      <c r="T1589" t="str">
        <f t="shared" si="281"/>
        <v>85364</v>
      </c>
      <c r="U1589" t="str">
        <f>""</f>
        <v/>
      </c>
      <c r="V1589" t="s">
        <v>5554</v>
      </c>
      <c r="X1589" t="s">
        <v>5471</v>
      </c>
      <c r="Y1589" t="s">
        <v>36</v>
      </c>
      <c r="Z1589" t="str">
        <f t="shared" si="282"/>
        <v>85364</v>
      </c>
      <c r="AA1589" t="str">
        <f>""</f>
        <v/>
      </c>
      <c r="AB1589" t="s">
        <v>508</v>
      </c>
    </row>
    <row r="1590" spans="1:28" x14ac:dyDescent="0.25">
      <c r="A1590">
        <v>4501</v>
      </c>
      <c r="B1590" t="str">
        <f t="shared" si="278"/>
        <v>140413000</v>
      </c>
      <c r="C1590" t="s">
        <v>5534</v>
      </c>
      <c r="D1590">
        <v>85833</v>
      </c>
      <c r="E1590" t="str">
        <f>"140413108"</f>
        <v>140413108</v>
      </c>
      <c r="F1590" t="s">
        <v>5555</v>
      </c>
      <c r="G1590" t="s">
        <v>42</v>
      </c>
      <c r="H1590" t="s">
        <v>2570</v>
      </c>
      <c r="I1590" t="s">
        <v>5535</v>
      </c>
      <c r="J1590" t="s">
        <v>32</v>
      </c>
      <c r="K1590" t="str">
        <f t="shared" si="279"/>
        <v>9283733911</v>
      </c>
      <c r="L1590" t="str">
        <f>""</f>
        <v/>
      </c>
      <c r="M1590" t="str">
        <f t="shared" si="280"/>
        <v>9283733915</v>
      </c>
      <c r="N1590" t="str">
        <f>""</f>
        <v/>
      </c>
      <c r="O1590" t="s">
        <v>5537</v>
      </c>
      <c r="P1590" t="s">
        <v>5538</v>
      </c>
      <c r="R1590" t="s">
        <v>5471</v>
      </c>
      <c r="S1590" t="s">
        <v>36</v>
      </c>
      <c r="T1590" t="str">
        <f t="shared" si="281"/>
        <v>85364</v>
      </c>
      <c r="U1590" t="str">
        <f>""</f>
        <v/>
      </c>
      <c r="V1590" t="s">
        <v>5556</v>
      </c>
      <c r="X1590" t="s">
        <v>5471</v>
      </c>
      <c r="Y1590" t="s">
        <v>36</v>
      </c>
      <c r="Z1590" t="str">
        <f t="shared" si="282"/>
        <v>85364</v>
      </c>
      <c r="AA1590" t="str">
        <f>""</f>
        <v/>
      </c>
      <c r="AB1590" t="s">
        <v>508</v>
      </c>
    </row>
    <row r="1591" spans="1:28" x14ac:dyDescent="0.25">
      <c r="A1591">
        <v>4501</v>
      </c>
      <c r="B1591" t="str">
        <f t="shared" si="278"/>
        <v>140413000</v>
      </c>
      <c r="C1591" t="s">
        <v>5534</v>
      </c>
      <c r="D1591">
        <v>85834</v>
      </c>
      <c r="E1591" t="str">
        <f>"140413109"</f>
        <v>140413109</v>
      </c>
      <c r="F1591" t="s">
        <v>5557</v>
      </c>
      <c r="G1591" t="s">
        <v>42</v>
      </c>
      <c r="H1591" t="s">
        <v>2570</v>
      </c>
      <c r="I1591" t="s">
        <v>5535</v>
      </c>
      <c r="J1591" t="s">
        <v>5558</v>
      </c>
      <c r="K1591" t="str">
        <f t="shared" si="279"/>
        <v>9283733911</v>
      </c>
      <c r="L1591" t="str">
        <f>""</f>
        <v/>
      </c>
      <c r="M1591" t="str">
        <f t="shared" si="280"/>
        <v>9283733915</v>
      </c>
      <c r="N1591" t="str">
        <f>""</f>
        <v/>
      </c>
      <c r="O1591" t="s">
        <v>5537</v>
      </c>
      <c r="P1591" t="s">
        <v>5559</v>
      </c>
      <c r="R1591" t="s">
        <v>5471</v>
      </c>
      <c r="S1591" t="s">
        <v>36</v>
      </c>
      <c r="T1591" t="str">
        <f t="shared" si="281"/>
        <v>85364</v>
      </c>
      <c r="U1591" t="str">
        <f>""</f>
        <v/>
      </c>
      <c r="V1591" t="s">
        <v>5560</v>
      </c>
      <c r="X1591" t="s">
        <v>5471</v>
      </c>
      <c r="Y1591" t="s">
        <v>36</v>
      </c>
      <c r="Z1591" t="str">
        <f t="shared" si="282"/>
        <v>85364</v>
      </c>
      <c r="AA1591" t="str">
        <f>""</f>
        <v/>
      </c>
      <c r="AB1591" t="s">
        <v>508</v>
      </c>
    </row>
    <row r="1592" spans="1:28" x14ac:dyDescent="0.25">
      <c r="A1592">
        <v>4501</v>
      </c>
      <c r="B1592" t="str">
        <f t="shared" si="278"/>
        <v>140413000</v>
      </c>
      <c r="C1592" t="s">
        <v>5534</v>
      </c>
      <c r="D1592">
        <v>89582</v>
      </c>
      <c r="E1592" t="str">
        <f>"140413130"</f>
        <v>140413130</v>
      </c>
      <c r="F1592" t="s">
        <v>5561</v>
      </c>
      <c r="G1592" t="s">
        <v>42</v>
      </c>
      <c r="H1592" t="s">
        <v>2570</v>
      </c>
      <c r="I1592" t="s">
        <v>5535</v>
      </c>
      <c r="J1592" t="s">
        <v>5558</v>
      </c>
      <c r="K1592" t="str">
        <f t="shared" si="279"/>
        <v>9283733911</v>
      </c>
      <c r="L1592" t="str">
        <f>""</f>
        <v/>
      </c>
      <c r="M1592" t="str">
        <f t="shared" si="280"/>
        <v>9283733915</v>
      </c>
      <c r="N1592" t="str">
        <f>""</f>
        <v/>
      </c>
      <c r="O1592" t="s">
        <v>5537</v>
      </c>
      <c r="P1592" t="s">
        <v>5538</v>
      </c>
      <c r="R1592" t="s">
        <v>5471</v>
      </c>
      <c r="S1592" t="s">
        <v>36</v>
      </c>
      <c r="T1592" t="str">
        <f t="shared" si="281"/>
        <v>85364</v>
      </c>
      <c r="U1592" t="str">
        <f>""</f>
        <v/>
      </c>
      <c r="V1592" t="s">
        <v>5562</v>
      </c>
      <c r="X1592" t="s">
        <v>5471</v>
      </c>
      <c r="Y1592" t="s">
        <v>36</v>
      </c>
      <c r="Z1592" t="str">
        <f t="shared" si="282"/>
        <v>85364</v>
      </c>
      <c r="AA1592" t="str">
        <f>""</f>
        <v/>
      </c>
      <c r="AB1592" t="s">
        <v>508</v>
      </c>
    </row>
    <row r="1593" spans="1:28" x14ac:dyDescent="0.25">
      <c r="A1593">
        <v>4501</v>
      </c>
      <c r="B1593" t="str">
        <f t="shared" si="278"/>
        <v>140413000</v>
      </c>
      <c r="C1593" t="s">
        <v>5534</v>
      </c>
      <c r="D1593">
        <v>91908</v>
      </c>
      <c r="E1593" t="str">
        <f>"140413138"</f>
        <v>140413138</v>
      </c>
      <c r="F1593" t="s">
        <v>5563</v>
      </c>
      <c r="G1593" t="s">
        <v>42</v>
      </c>
      <c r="H1593" t="s">
        <v>2570</v>
      </c>
      <c r="I1593" t="s">
        <v>5535</v>
      </c>
      <c r="J1593" t="s">
        <v>5564</v>
      </c>
      <c r="K1593" t="str">
        <f t="shared" si="279"/>
        <v>9283733911</v>
      </c>
      <c r="L1593" t="str">
        <f>""</f>
        <v/>
      </c>
      <c r="M1593" t="str">
        <f t="shared" si="280"/>
        <v>9283733915</v>
      </c>
      <c r="N1593" t="str">
        <f>""</f>
        <v/>
      </c>
      <c r="O1593" t="s">
        <v>5537</v>
      </c>
      <c r="P1593" t="s">
        <v>5549</v>
      </c>
      <c r="R1593" t="s">
        <v>5471</v>
      </c>
      <c r="S1593" t="s">
        <v>36</v>
      </c>
      <c r="T1593" t="str">
        <f t="shared" si="281"/>
        <v>85364</v>
      </c>
      <c r="U1593" t="str">
        <f>""</f>
        <v/>
      </c>
      <c r="V1593" t="s">
        <v>5549</v>
      </c>
      <c r="X1593" t="s">
        <v>5471</v>
      </c>
      <c r="Y1593" t="s">
        <v>36</v>
      </c>
      <c r="Z1593" t="str">
        <f t="shared" si="282"/>
        <v>85364</v>
      </c>
      <c r="AA1593" t="str">
        <f>""</f>
        <v/>
      </c>
      <c r="AB1593" t="s">
        <v>508</v>
      </c>
    </row>
    <row r="1594" spans="1:28" x14ac:dyDescent="0.25">
      <c r="A1594">
        <v>4502</v>
      </c>
      <c r="B1594" t="str">
        <f>"140416000"</f>
        <v>140416000</v>
      </c>
      <c r="C1594" t="s">
        <v>5565</v>
      </c>
      <c r="D1594">
        <v>0</v>
      </c>
      <c r="E1594" t="str">
        <f>""</f>
        <v/>
      </c>
      <c r="G1594" t="s">
        <v>29</v>
      </c>
      <c r="H1594" t="s">
        <v>5566</v>
      </c>
      <c r="I1594" t="s">
        <v>5567</v>
      </c>
      <c r="J1594" t="s">
        <v>32</v>
      </c>
      <c r="K1594" t="str">
        <f>"9284542242"</f>
        <v>9284542242</v>
      </c>
      <c r="L1594" t="str">
        <f>"132"</f>
        <v>132</v>
      </c>
      <c r="M1594" t="str">
        <f>"9284542217"</f>
        <v>9284542217</v>
      </c>
      <c r="N1594" t="str">
        <f>""</f>
        <v/>
      </c>
      <c r="O1594" t="s">
        <v>5568</v>
      </c>
      <c r="P1594" t="s">
        <v>5569</v>
      </c>
      <c r="R1594" t="s">
        <v>2247</v>
      </c>
      <c r="S1594" t="s">
        <v>36</v>
      </c>
      <c r="T1594" t="str">
        <f>"85333"</f>
        <v>85333</v>
      </c>
      <c r="U1594" t="str">
        <f>""</f>
        <v/>
      </c>
      <c r="V1594" t="s">
        <v>5570</v>
      </c>
      <c r="X1594" t="s">
        <v>2247</v>
      </c>
      <c r="Y1594" t="s">
        <v>36</v>
      </c>
      <c r="Z1594" t="str">
        <f>"85333"</f>
        <v>85333</v>
      </c>
      <c r="AA1594" t="str">
        <f>""</f>
        <v/>
      </c>
      <c r="AB1594" t="s">
        <v>124</v>
      </c>
    </row>
    <row r="1595" spans="1:28" x14ac:dyDescent="0.25">
      <c r="A1595">
        <v>4502</v>
      </c>
      <c r="B1595" t="str">
        <f>"140416000"</f>
        <v>140416000</v>
      </c>
      <c r="C1595" t="s">
        <v>5565</v>
      </c>
      <c r="D1595">
        <v>6180</v>
      </c>
      <c r="E1595" t="str">
        <f>"140416101"</f>
        <v>140416101</v>
      </c>
      <c r="F1595" t="s">
        <v>5571</v>
      </c>
      <c r="G1595" t="s">
        <v>42</v>
      </c>
      <c r="H1595" t="s">
        <v>5566</v>
      </c>
      <c r="I1595" t="s">
        <v>5567</v>
      </c>
      <c r="J1595" t="s">
        <v>315</v>
      </c>
      <c r="K1595" t="str">
        <f>"9284542242"</f>
        <v>9284542242</v>
      </c>
      <c r="L1595" t="str">
        <f>""</f>
        <v/>
      </c>
      <c r="M1595" t="str">
        <f>"9284542217"</f>
        <v>9284542217</v>
      </c>
      <c r="N1595" t="str">
        <f>""</f>
        <v/>
      </c>
      <c r="O1595" t="s">
        <v>5568</v>
      </c>
      <c r="P1595" t="s">
        <v>5569</v>
      </c>
      <c r="R1595" t="s">
        <v>2247</v>
      </c>
      <c r="S1595" t="s">
        <v>36</v>
      </c>
      <c r="T1595" t="str">
        <f>"85333"</f>
        <v>85333</v>
      </c>
      <c r="U1595" t="str">
        <f>""</f>
        <v/>
      </c>
      <c r="V1595" t="s">
        <v>5570</v>
      </c>
      <c r="X1595" t="s">
        <v>2247</v>
      </c>
      <c r="Y1595" t="s">
        <v>36</v>
      </c>
      <c r="Z1595" t="str">
        <f>"85333"</f>
        <v>85333</v>
      </c>
      <c r="AA1595" t="str">
        <f>""</f>
        <v/>
      </c>
      <c r="AB1595" t="s">
        <v>124</v>
      </c>
    </row>
    <row r="1596" spans="1:28" x14ac:dyDescent="0.25">
      <c r="A1596">
        <v>4503</v>
      </c>
      <c r="B1596" t="str">
        <f>"140417000"</f>
        <v>140417000</v>
      </c>
      <c r="C1596" t="s">
        <v>5572</v>
      </c>
      <c r="D1596">
        <v>0</v>
      </c>
      <c r="E1596" t="str">
        <f>""</f>
        <v/>
      </c>
      <c r="G1596" t="s">
        <v>29</v>
      </c>
      <c r="H1596" t="s">
        <v>5573</v>
      </c>
      <c r="I1596" t="s">
        <v>5574</v>
      </c>
      <c r="J1596" t="s">
        <v>195</v>
      </c>
      <c r="K1596" t="str">
        <f>"9287854942"</f>
        <v>9287854942</v>
      </c>
      <c r="L1596" t="str">
        <f>"333"</f>
        <v>333</v>
      </c>
      <c r="M1596" t="str">
        <f>"9287859496"</f>
        <v>9287859496</v>
      </c>
      <c r="N1596" t="str">
        <f>""</f>
        <v/>
      </c>
      <c r="O1596" t="s">
        <v>5575</v>
      </c>
      <c r="P1596" t="s">
        <v>5576</v>
      </c>
      <c r="R1596" t="s">
        <v>5577</v>
      </c>
      <c r="S1596" t="s">
        <v>36</v>
      </c>
      <c r="T1596" t="str">
        <f>"85347"</f>
        <v>85347</v>
      </c>
      <c r="U1596" t="str">
        <f>"9701"</f>
        <v>9701</v>
      </c>
      <c r="V1596" t="s">
        <v>5576</v>
      </c>
      <c r="X1596" t="s">
        <v>5577</v>
      </c>
      <c r="Y1596" t="s">
        <v>36</v>
      </c>
      <c r="Z1596" t="str">
        <f>"85347"</f>
        <v>85347</v>
      </c>
      <c r="AA1596" t="str">
        <f>"9701"</f>
        <v>9701</v>
      </c>
      <c r="AB1596" t="s">
        <v>5578</v>
      </c>
    </row>
    <row r="1597" spans="1:28" x14ac:dyDescent="0.25">
      <c r="A1597">
        <v>4503</v>
      </c>
      <c r="B1597" t="str">
        <f>"140417000"</f>
        <v>140417000</v>
      </c>
      <c r="C1597" t="s">
        <v>5572</v>
      </c>
      <c r="D1597">
        <v>6181</v>
      </c>
      <c r="E1597" t="str">
        <f>"140417101"</f>
        <v>140417101</v>
      </c>
      <c r="F1597" t="s">
        <v>5579</v>
      </c>
      <c r="G1597" t="s">
        <v>42</v>
      </c>
      <c r="H1597" t="s">
        <v>5573</v>
      </c>
      <c r="I1597" t="s">
        <v>5574</v>
      </c>
      <c r="J1597" t="s">
        <v>782</v>
      </c>
      <c r="K1597" t="str">
        <f>"9287854942"</f>
        <v>9287854942</v>
      </c>
      <c r="L1597" t="str">
        <f>"333"</f>
        <v>333</v>
      </c>
      <c r="M1597" t="str">
        <f>"9287859496"</f>
        <v>9287859496</v>
      </c>
      <c r="N1597" t="str">
        <f>""</f>
        <v/>
      </c>
      <c r="O1597" t="s">
        <v>5575</v>
      </c>
      <c r="P1597" t="s">
        <v>5580</v>
      </c>
      <c r="R1597" t="s">
        <v>5577</v>
      </c>
      <c r="S1597" t="s">
        <v>36</v>
      </c>
      <c r="T1597" t="str">
        <f>"85347"</f>
        <v>85347</v>
      </c>
      <c r="U1597" t="str">
        <f>"9701"</f>
        <v>9701</v>
      </c>
      <c r="V1597" t="s">
        <v>5580</v>
      </c>
      <c r="X1597" t="s">
        <v>5577</v>
      </c>
      <c r="Y1597" t="s">
        <v>36</v>
      </c>
      <c r="Z1597" t="str">
        <f>"85347"</f>
        <v>85347</v>
      </c>
      <c r="AA1597" t="str">
        <f>"9701"</f>
        <v>9701</v>
      </c>
      <c r="AB1597" t="s">
        <v>5578</v>
      </c>
    </row>
    <row r="1598" spans="1:28" x14ac:dyDescent="0.25">
      <c r="A1598">
        <v>4504</v>
      </c>
      <c r="B1598" t="str">
        <f>"140424000"</f>
        <v>140424000</v>
      </c>
      <c r="C1598" t="s">
        <v>5581</v>
      </c>
      <c r="D1598">
        <v>0</v>
      </c>
      <c r="E1598" t="str">
        <f>""</f>
        <v/>
      </c>
      <c r="G1598" t="s">
        <v>29</v>
      </c>
      <c r="H1598" t="s">
        <v>5582</v>
      </c>
      <c r="I1598" t="s">
        <v>3152</v>
      </c>
      <c r="J1598" t="s">
        <v>5583</v>
      </c>
      <c r="K1598" t="str">
        <f>"9287853311"</f>
        <v>9287853311</v>
      </c>
      <c r="L1598" t="str">
        <f>"315"</f>
        <v>315</v>
      </c>
      <c r="M1598" t="str">
        <f>""</f>
        <v/>
      </c>
      <c r="N1598" t="str">
        <f>""</f>
        <v/>
      </c>
      <c r="O1598" t="s">
        <v>5584</v>
      </c>
      <c r="P1598" t="s">
        <v>5585</v>
      </c>
      <c r="R1598" t="s">
        <v>5586</v>
      </c>
      <c r="S1598" t="s">
        <v>36</v>
      </c>
      <c r="T1598" t="str">
        <f>"85356"</f>
        <v>85356</v>
      </c>
      <c r="U1598" t="str">
        <f>"0517"</f>
        <v>0517</v>
      </c>
      <c r="V1598" t="s">
        <v>5587</v>
      </c>
      <c r="X1598" t="s">
        <v>5586</v>
      </c>
      <c r="Y1598" t="s">
        <v>36</v>
      </c>
      <c r="Z1598" t="str">
        <f>"85356"</f>
        <v>85356</v>
      </c>
      <c r="AA1598" t="str">
        <f>"0517"</f>
        <v>0517</v>
      </c>
      <c r="AB1598" t="s">
        <v>265</v>
      </c>
    </row>
    <row r="1599" spans="1:28" x14ac:dyDescent="0.25">
      <c r="A1599">
        <v>4504</v>
      </c>
      <c r="B1599" t="str">
        <f>"140424000"</f>
        <v>140424000</v>
      </c>
      <c r="C1599" t="s">
        <v>5581</v>
      </c>
      <c r="D1599">
        <v>6182</v>
      </c>
      <c r="E1599" t="str">
        <f>"140424101"</f>
        <v>140424101</v>
      </c>
      <c r="F1599" t="s">
        <v>5588</v>
      </c>
      <c r="G1599" t="s">
        <v>42</v>
      </c>
      <c r="H1599" t="s">
        <v>5582</v>
      </c>
      <c r="I1599" t="s">
        <v>3152</v>
      </c>
      <c r="J1599" t="s">
        <v>5589</v>
      </c>
      <c r="K1599" t="str">
        <f>"9287853311"</f>
        <v>9287853311</v>
      </c>
      <c r="L1599" t="str">
        <f>"315"</f>
        <v>315</v>
      </c>
      <c r="M1599" t="str">
        <f>"9287854323"</f>
        <v>9287854323</v>
      </c>
      <c r="N1599" t="str">
        <f>""</f>
        <v/>
      </c>
      <c r="O1599" t="s">
        <v>5584</v>
      </c>
      <c r="P1599" t="s">
        <v>5585</v>
      </c>
      <c r="R1599" t="s">
        <v>5586</v>
      </c>
      <c r="S1599" t="s">
        <v>36</v>
      </c>
      <c r="T1599" t="str">
        <f>"85356"</f>
        <v>85356</v>
      </c>
      <c r="U1599" t="str">
        <f>"0517"</f>
        <v>0517</v>
      </c>
      <c r="V1599" t="s">
        <v>5590</v>
      </c>
      <c r="X1599" t="s">
        <v>5586</v>
      </c>
      <c r="Y1599" t="s">
        <v>36</v>
      </c>
      <c r="Z1599" t="str">
        <f>"85356"</f>
        <v>85356</v>
      </c>
      <c r="AA1599" t="str">
        <f>"0517"</f>
        <v>0517</v>
      </c>
      <c r="AB1599" t="s">
        <v>265</v>
      </c>
    </row>
    <row r="1600" spans="1:28" x14ac:dyDescent="0.25">
      <c r="A1600">
        <v>4505</v>
      </c>
      <c r="B1600" t="str">
        <f t="shared" ref="B1600:B1608" si="283">"140432000"</f>
        <v>140432000</v>
      </c>
      <c r="C1600" t="s">
        <v>5591</v>
      </c>
      <c r="D1600">
        <v>0</v>
      </c>
      <c r="E1600" t="str">
        <f>""</f>
        <v/>
      </c>
      <c r="G1600" t="s">
        <v>29</v>
      </c>
      <c r="H1600" t="s">
        <v>398</v>
      </c>
      <c r="I1600" t="s">
        <v>5592</v>
      </c>
      <c r="J1600" t="s">
        <v>5593</v>
      </c>
      <c r="K1600" t="str">
        <f>"9286276568"</f>
        <v>9286276568</v>
      </c>
      <c r="L1600" t="str">
        <f>""</f>
        <v/>
      </c>
      <c r="M1600" t="str">
        <f>"9286273635"</f>
        <v>9286273635</v>
      </c>
      <c r="N1600" t="str">
        <f>""</f>
        <v/>
      </c>
      <c r="O1600" t="s">
        <v>5594</v>
      </c>
      <c r="P1600" t="s">
        <v>5595</v>
      </c>
      <c r="R1600" t="s">
        <v>5596</v>
      </c>
      <c r="S1600" t="s">
        <v>36</v>
      </c>
      <c r="T1600" t="str">
        <f t="shared" ref="T1600:T1608" si="284">"85349"</f>
        <v>85349</v>
      </c>
      <c r="U1600" t="str">
        <f>""</f>
        <v/>
      </c>
      <c r="V1600" t="s">
        <v>5597</v>
      </c>
      <c r="X1600" t="s">
        <v>5596</v>
      </c>
      <c r="Y1600" t="s">
        <v>36</v>
      </c>
      <c r="Z1600" t="str">
        <f>"85349"</f>
        <v>85349</v>
      </c>
      <c r="AA1600" t="str">
        <f>""</f>
        <v/>
      </c>
      <c r="AB1600" t="s">
        <v>516</v>
      </c>
    </row>
    <row r="1601" spans="1:28" x14ac:dyDescent="0.25">
      <c r="A1601">
        <v>4505</v>
      </c>
      <c r="B1601" t="str">
        <f t="shared" si="283"/>
        <v>140432000</v>
      </c>
      <c r="C1601" t="s">
        <v>5591</v>
      </c>
      <c r="D1601">
        <v>6183</v>
      </c>
      <c r="E1601" t="str">
        <f>"140432101"</f>
        <v>140432101</v>
      </c>
      <c r="F1601" t="s">
        <v>5598</v>
      </c>
      <c r="G1601" t="s">
        <v>42</v>
      </c>
      <c r="H1601" t="s">
        <v>5599</v>
      </c>
      <c r="I1601" t="s">
        <v>5600</v>
      </c>
      <c r="J1601" t="s">
        <v>315</v>
      </c>
      <c r="K1601" t="str">
        <f>"9286276976"</f>
        <v>9286276976</v>
      </c>
      <c r="L1601" t="str">
        <f>""</f>
        <v/>
      </c>
      <c r="M1601" t="str">
        <f t="shared" ref="M1601:M1608" si="285">"9286278373"</f>
        <v>9286278373</v>
      </c>
      <c r="N1601" t="str">
        <f>""</f>
        <v/>
      </c>
      <c r="O1601" t="s">
        <v>5601</v>
      </c>
      <c r="P1601" t="s">
        <v>5602</v>
      </c>
      <c r="R1601" t="s">
        <v>4744</v>
      </c>
      <c r="S1601" t="s">
        <v>36</v>
      </c>
      <c r="T1601" t="str">
        <f t="shared" si="284"/>
        <v>85349</v>
      </c>
      <c r="U1601" t="str">
        <f>""</f>
        <v/>
      </c>
      <c r="V1601" t="s">
        <v>5603</v>
      </c>
      <c r="X1601" t="s">
        <v>5604</v>
      </c>
      <c r="Y1601" t="s">
        <v>36</v>
      </c>
      <c r="Z1601" t="str">
        <f>"85336"</f>
        <v>85336</v>
      </c>
      <c r="AA1601" t="str">
        <f>""</f>
        <v/>
      </c>
      <c r="AB1601" t="s">
        <v>516</v>
      </c>
    </row>
    <row r="1602" spans="1:28" x14ac:dyDescent="0.25">
      <c r="A1602">
        <v>4505</v>
      </c>
      <c r="B1602" t="str">
        <f t="shared" si="283"/>
        <v>140432000</v>
      </c>
      <c r="C1602" t="s">
        <v>5591</v>
      </c>
      <c r="D1602">
        <v>6184</v>
      </c>
      <c r="E1602" t="str">
        <f>"140432102"</f>
        <v>140432102</v>
      </c>
      <c r="F1602" t="s">
        <v>5605</v>
      </c>
      <c r="G1602" t="s">
        <v>42</v>
      </c>
      <c r="H1602" t="s">
        <v>794</v>
      </c>
      <c r="I1602" t="s">
        <v>2949</v>
      </c>
      <c r="J1602" t="s">
        <v>315</v>
      </c>
      <c r="K1602" t="str">
        <f>"9286276909"</f>
        <v>9286276909</v>
      </c>
      <c r="L1602" t="str">
        <f>""</f>
        <v/>
      </c>
      <c r="M1602" t="str">
        <f t="shared" si="285"/>
        <v>9286278373</v>
      </c>
      <c r="N1602" t="str">
        <f>""</f>
        <v/>
      </c>
      <c r="O1602" t="s">
        <v>5606</v>
      </c>
      <c r="P1602" t="s">
        <v>5607</v>
      </c>
      <c r="R1602" t="s">
        <v>5596</v>
      </c>
      <c r="S1602" t="s">
        <v>36</v>
      </c>
      <c r="T1602" t="str">
        <f t="shared" si="284"/>
        <v>85349</v>
      </c>
      <c r="U1602" t="str">
        <f>""</f>
        <v/>
      </c>
      <c r="V1602" t="s">
        <v>5608</v>
      </c>
      <c r="X1602" t="s">
        <v>5596</v>
      </c>
      <c r="Y1602" t="s">
        <v>36</v>
      </c>
      <c r="Z1602" t="str">
        <f t="shared" ref="Z1602:Z1608" si="286">"85349"</f>
        <v>85349</v>
      </c>
      <c r="AA1602" t="str">
        <f>""</f>
        <v/>
      </c>
      <c r="AB1602" t="s">
        <v>516</v>
      </c>
    </row>
    <row r="1603" spans="1:28" x14ac:dyDescent="0.25">
      <c r="A1603">
        <v>4505</v>
      </c>
      <c r="B1603" t="str">
        <f t="shared" si="283"/>
        <v>140432000</v>
      </c>
      <c r="C1603" t="s">
        <v>5591</v>
      </c>
      <c r="D1603">
        <v>6185</v>
      </c>
      <c r="E1603" t="str">
        <f>"140432103"</f>
        <v>140432103</v>
      </c>
      <c r="F1603" t="s">
        <v>5609</v>
      </c>
      <c r="G1603" t="s">
        <v>42</v>
      </c>
      <c r="H1603" t="s">
        <v>2439</v>
      </c>
      <c r="I1603" t="s">
        <v>5610</v>
      </c>
      <c r="J1603" t="s">
        <v>315</v>
      </c>
      <c r="K1603" t="str">
        <f>"9286276939"</f>
        <v>9286276939</v>
      </c>
      <c r="L1603" t="str">
        <f>""</f>
        <v/>
      </c>
      <c r="M1603" t="str">
        <f t="shared" si="285"/>
        <v>9286278373</v>
      </c>
      <c r="N1603" t="str">
        <f>""</f>
        <v/>
      </c>
      <c r="O1603" t="s">
        <v>5611</v>
      </c>
      <c r="P1603" t="s">
        <v>5602</v>
      </c>
      <c r="R1603" t="s">
        <v>4744</v>
      </c>
      <c r="S1603" t="s">
        <v>36</v>
      </c>
      <c r="T1603" t="str">
        <f t="shared" si="284"/>
        <v>85349</v>
      </c>
      <c r="U1603" t="str">
        <f>""</f>
        <v/>
      </c>
      <c r="V1603" t="s">
        <v>5612</v>
      </c>
      <c r="X1603" t="s">
        <v>4744</v>
      </c>
      <c r="Y1603" t="s">
        <v>36</v>
      </c>
      <c r="Z1603" t="str">
        <f t="shared" si="286"/>
        <v>85349</v>
      </c>
      <c r="AA1603" t="str">
        <f>""</f>
        <v/>
      </c>
      <c r="AB1603" t="s">
        <v>516</v>
      </c>
    </row>
    <row r="1604" spans="1:28" x14ac:dyDescent="0.25">
      <c r="A1604">
        <v>4505</v>
      </c>
      <c r="B1604" t="str">
        <f t="shared" si="283"/>
        <v>140432000</v>
      </c>
      <c r="C1604" t="s">
        <v>5591</v>
      </c>
      <c r="D1604">
        <v>6187</v>
      </c>
      <c r="E1604" t="str">
        <f>"140432105"</f>
        <v>140432105</v>
      </c>
      <c r="F1604" t="s">
        <v>2636</v>
      </c>
      <c r="G1604" t="s">
        <v>42</v>
      </c>
      <c r="H1604" t="s">
        <v>1603</v>
      </c>
      <c r="I1604" t="s">
        <v>3123</v>
      </c>
      <c r="J1604" t="s">
        <v>315</v>
      </c>
      <c r="K1604" t="str">
        <f>"9286276949"</f>
        <v>9286276949</v>
      </c>
      <c r="L1604" t="str">
        <f>""</f>
        <v/>
      </c>
      <c r="M1604" t="str">
        <f t="shared" si="285"/>
        <v>9286278373</v>
      </c>
      <c r="N1604" t="str">
        <f>""</f>
        <v/>
      </c>
      <c r="O1604" t="s">
        <v>5613</v>
      </c>
      <c r="P1604" t="s">
        <v>5614</v>
      </c>
      <c r="R1604" t="s">
        <v>5596</v>
      </c>
      <c r="S1604" t="s">
        <v>36</v>
      </c>
      <c r="T1604" t="str">
        <f t="shared" si="284"/>
        <v>85349</v>
      </c>
      <c r="U1604" t="str">
        <f>""</f>
        <v/>
      </c>
      <c r="V1604" t="s">
        <v>5615</v>
      </c>
      <c r="X1604" t="s">
        <v>5596</v>
      </c>
      <c r="Y1604" t="s">
        <v>36</v>
      </c>
      <c r="Z1604" t="str">
        <f t="shared" si="286"/>
        <v>85349</v>
      </c>
      <c r="AA1604" t="str">
        <f>""</f>
        <v/>
      </c>
      <c r="AB1604" t="s">
        <v>516</v>
      </c>
    </row>
    <row r="1605" spans="1:28" x14ac:dyDescent="0.25">
      <c r="A1605">
        <v>4505</v>
      </c>
      <c r="B1605" t="str">
        <f t="shared" si="283"/>
        <v>140432000</v>
      </c>
      <c r="C1605" t="s">
        <v>5591</v>
      </c>
      <c r="D1605">
        <v>79724</v>
      </c>
      <c r="E1605" t="str">
        <f>"140432106"</f>
        <v>140432106</v>
      </c>
      <c r="F1605" t="s">
        <v>5616</v>
      </c>
      <c r="G1605" t="s">
        <v>42</v>
      </c>
      <c r="H1605" t="s">
        <v>398</v>
      </c>
      <c r="I1605" t="s">
        <v>5617</v>
      </c>
      <c r="J1605" t="s">
        <v>315</v>
      </c>
      <c r="K1605" t="str">
        <f>"9286276955"</f>
        <v>9286276955</v>
      </c>
      <c r="L1605" t="str">
        <f>""</f>
        <v/>
      </c>
      <c r="M1605" t="str">
        <f t="shared" si="285"/>
        <v>9286278373</v>
      </c>
      <c r="N1605" t="str">
        <f>""</f>
        <v/>
      </c>
      <c r="O1605" t="s">
        <v>5618</v>
      </c>
      <c r="P1605" t="s">
        <v>5619</v>
      </c>
      <c r="R1605" t="s">
        <v>4744</v>
      </c>
      <c r="S1605" t="s">
        <v>36</v>
      </c>
      <c r="T1605" t="str">
        <f t="shared" si="284"/>
        <v>85349</v>
      </c>
      <c r="U1605" t="str">
        <f>""</f>
        <v/>
      </c>
      <c r="V1605" t="s">
        <v>5620</v>
      </c>
      <c r="X1605" t="s">
        <v>4744</v>
      </c>
      <c r="Y1605" t="s">
        <v>36</v>
      </c>
      <c r="Z1605" t="str">
        <f t="shared" si="286"/>
        <v>85349</v>
      </c>
      <c r="AA1605" t="str">
        <f>""</f>
        <v/>
      </c>
      <c r="AB1605" t="s">
        <v>516</v>
      </c>
    </row>
    <row r="1606" spans="1:28" x14ac:dyDescent="0.25">
      <c r="A1606">
        <v>4505</v>
      </c>
      <c r="B1606" t="str">
        <f t="shared" si="283"/>
        <v>140432000</v>
      </c>
      <c r="C1606" t="s">
        <v>5591</v>
      </c>
      <c r="D1606">
        <v>81096</v>
      </c>
      <c r="E1606" t="str">
        <f>"140432108"</f>
        <v>140432108</v>
      </c>
      <c r="F1606" t="s">
        <v>5621</v>
      </c>
      <c r="G1606" t="s">
        <v>42</v>
      </c>
      <c r="H1606" t="s">
        <v>1561</v>
      </c>
      <c r="I1606" t="s">
        <v>5622</v>
      </c>
      <c r="J1606" t="s">
        <v>315</v>
      </c>
      <c r="K1606" t="str">
        <f>"9286276919"</f>
        <v>9286276919</v>
      </c>
      <c r="L1606" t="str">
        <f>""</f>
        <v/>
      </c>
      <c r="M1606" t="str">
        <f t="shared" si="285"/>
        <v>9286278373</v>
      </c>
      <c r="N1606" t="str">
        <f>""</f>
        <v/>
      </c>
      <c r="O1606" t="s">
        <v>5623</v>
      </c>
      <c r="P1606" t="s">
        <v>5614</v>
      </c>
      <c r="R1606" t="s">
        <v>4744</v>
      </c>
      <c r="S1606" t="s">
        <v>36</v>
      </c>
      <c r="T1606" t="str">
        <f t="shared" si="284"/>
        <v>85349</v>
      </c>
      <c r="U1606" t="str">
        <f>""</f>
        <v/>
      </c>
      <c r="V1606" t="s">
        <v>5624</v>
      </c>
      <c r="X1606" t="s">
        <v>4744</v>
      </c>
      <c r="Y1606" t="s">
        <v>36</v>
      </c>
      <c r="Z1606" t="str">
        <f t="shared" si="286"/>
        <v>85349</v>
      </c>
      <c r="AA1606" t="str">
        <f>""</f>
        <v/>
      </c>
      <c r="AB1606" t="s">
        <v>516</v>
      </c>
    </row>
    <row r="1607" spans="1:28" x14ac:dyDescent="0.25">
      <c r="A1607">
        <v>4505</v>
      </c>
      <c r="B1607" t="str">
        <f t="shared" si="283"/>
        <v>140432000</v>
      </c>
      <c r="C1607" t="s">
        <v>5591</v>
      </c>
      <c r="D1607">
        <v>81105</v>
      </c>
      <c r="E1607" t="str">
        <f>"140432107"</f>
        <v>140432107</v>
      </c>
      <c r="F1607" t="s">
        <v>5625</v>
      </c>
      <c r="G1607" t="s">
        <v>42</v>
      </c>
      <c r="H1607" t="s">
        <v>2932</v>
      </c>
      <c r="I1607" t="s">
        <v>5626</v>
      </c>
      <c r="J1607" t="s">
        <v>315</v>
      </c>
      <c r="K1607" t="str">
        <f>"9286276591"</f>
        <v>9286276591</v>
      </c>
      <c r="L1607" t="str">
        <f>""</f>
        <v/>
      </c>
      <c r="M1607" t="str">
        <f t="shared" si="285"/>
        <v>9286278373</v>
      </c>
      <c r="N1607" t="str">
        <f>""</f>
        <v/>
      </c>
      <c r="O1607" t="s">
        <v>5627</v>
      </c>
      <c r="P1607" t="s">
        <v>5619</v>
      </c>
      <c r="R1607" t="s">
        <v>5596</v>
      </c>
      <c r="S1607" t="s">
        <v>36</v>
      </c>
      <c r="T1607" t="str">
        <f t="shared" si="284"/>
        <v>85349</v>
      </c>
      <c r="U1607" t="str">
        <f>""</f>
        <v/>
      </c>
      <c r="V1607" t="s">
        <v>5628</v>
      </c>
      <c r="X1607" t="s">
        <v>5596</v>
      </c>
      <c r="Y1607" t="s">
        <v>36</v>
      </c>
      <c r="Z1607" t="str">
        <f t="shared" si="286"/>
        <v>85349</v>
      </c>
      <c r="AA1607" t="str">
        <f>""</f>
        <v/>
      </c>
      <c r="AB1607" t="s">
        <v>516</v>
      </c>
    </row>
    <row r="1608" spans="1:28" x14ac:dyDescent="0.25">
      <c r="A1608">
        <v>4505</v>
      </c>
      <c r="B1608" t="str">
        <f t="shared" si="283"/>
        <v>140432000</v>
      </c>
      <c r="C1608" t="s">
        <v>5591</v>
      </c>
      <c r="D1608">
        <v>81106</v>
      </c>
      <c r="E1608" t="str">
        <f>"140432109"</f>
        <v>140432109</v>
      </c>
      <c r="F1608" t="s">
        <v>5629</v>
      </c>
      <c r="G1608" t="s">
        <v>42</v>
      </c>
      <c r="H1608" t="s">
        <v>3017</v>
      </c>
      <c r="I1608" t="s">
        <v>1570</v>
      </c>
      <c r="J1608" t="s">
        <v>315</v>
      </c>
      <c r="K1608" t="str">
        <f>"9286276989"</f>
        <v>9286276989</v>
      </c>
      <c r="L1608" t="str">
        <f>""</f>
        <v/>
      </c>
      <c r="M1608" t="str">
        <f t="shared" si="285"/>
        <v>9286278373</v>
      </c>
      <c r="N1608" t="str">
        <f>""</f>
        <v/>
      </c>
      <c r="O1608" t="s">
        <v>5630</v>
      </c>
      <c r="P1608" t="s">
        <v>5619</v>
      </c>
      <c r="R1608" t="s">
        <v>5596</v>
      </c>
      <c r="S1608" t="s">
        <v>36</v>
      </c>
      <c r="T1608" t="str">
        <f t="shared" si="284"/>
        <v>85349</v>
      </c>
      <c r="U1608" t="str">
        <f>""</f>
        <v/>
      </c>
      <c r="V1608" t="s">
        <v>5631</v>
      </c>
      <c r="X1608" t="s">
        <v>5596</v>
      </c>
      <c r="Y1608" t="s">
        <v>36</v>
      </c>
      <c r="Z1608" t="str">
        <f t="shared" si="286"/>
        <v>85349</v>
      </c>
      <c r="AA1608" t="str">
        <f>""</f>
        <v/>
      </c>
      <c r="AB1608" t="s">
        <v>516</v>
      </c>
    </row>
    <row r="1609" spans="1:28" x14ac:dyDescent="0.25">
      <c r="A1609">
        <v>4506</v>
      </c>
      <c r="B1609" t="str">
        <f>"140550000"</f>
        <v>140550000</v>
      </c>
      <c r="C1609" t="s">
        <v>5632</v>
      </c>
      <c r="D1609">
        <v>0</v>
      </c>
      <c r="E1609" t="str">
        <f>""</f>
        <v/>
      </c>
      <c r="G1609" t="s">
        <v>29</v>
      </c>
      <c r="H1609" t="s">
        <v>5633</v>
      </c>
      <c r="I1609" t="s">
        <v>5634</v>
      </c>
      <c r="J1609" t="s">
        <v>32</v>
      </c>
      <c r="K1609" t="str">
        <f>"9287853344"</f>
        <v>9287853344</v>
      </c>
      <c r="L1609" t="str">
        <f>"4409"</f>
        <v>4409</v>
      </c>
      <c r="M1609" t="str">
        <f>"9287854588"</f>
        <v>9287854588</v>
      </c>
      <c r="N1609" t="str">
        <f>""</f>
        <v/>
      </c>
      <c r="O1609" t="s">
        <v>5635</v>
      </c>
      <c r="P1609" t="s">
        <v>5636</v>
      </c>
      <c r="R1609" t="s">
        <v>5637</v>
      </c>
      <c r="S1609" t="s">
        <v>36</v>
      </c>
      <c r="T1609" t="str">
        <f>"85356"</f>
        <v>85356</v>
      </c>
      <c r="U1609" t="str">
        <f>""</f>
        <v/>
      </c>
      <c r="V1609" t="s">
        <v>5636</v>
      </c>
      <c r="X1609" t="s">
        <v>5637</v>
      </c>
      <c r="Y1609" t="s">
        <v>36</v>
      </c>
      <c r="Z1609" t="str">
        <f>"85356"</f>
        <v>85356</v>
      </c>
      <c r="AA1609" t="str">
        <f>""</f>
        <v/>
      </c>
      <c r="AB1609" t="s">
        <v>86</v>
      </c>
    </row>
    <row r="1610" spans="1:28" x14ac:dyDescent="0.25">
      <c r="A1610">
        <v>4506</v>
      </c>
      <c r="B1610" t="str">
        <f>"140550000"</f>
        <v>140550000</v>
      </c>
      <c r="C1610" t="s">
        <v>5632</v>
      </c>
      <c r="D1610">
        <v>6188</v>
      </c>
      <c r="E1610" t="str">
        <f>"140550201"</f>
        <v>140550201</v>
      </c>
      <c r="F1610" t="s">
        <v>5638</v>
      </c>
      <c r="G1610" t="s">
        <v>42</v>
      </c>
      <c r="H1610" t="s">
        <v>5633</v>
      </c>
      <c r="I1610" t="s">
        <v>5634</v>
      </c>
      <c r="J1610" t="s">
        <v>32</v>
      </c>
      <c r="K1610" t="str">
        <f>"9287853344"</f>
        <v>9287853344</v>
      </c>
      <c r="L1610" t="str">
        <f>"4409"</f>
        <v>4409</v>
      </c>
      <c r="M1610" t="str">
        <f>"9287854588"</f>
        <v>9287854588</v>
      </c>
      <c r="N1610" t="str">
        <f>""</f>
        <v/>
      </c>
      <c r="O1610" t="s">
        <v>5635</v>
      </c>
      <c r="P1610" t="s">
        <v>5636</v>
      </c>
      <c r="R1610" t="s">
        <v>5637</v>
      </c>
      <c r="S1610" t="s">
        <v>36</v>
      </c>
      <c r="T1610" t="str">
        <f>"85356"</f>
        <v>85356</v>
      </c>
      <c r="U1610" t="str">
        <f>""</f>
        <v/>
      </c>
      <c r="V1610" t="s">
        <v>5636</v>
      </c>
      <c r="X1610" t="s">
        <v>5637</v>
      </c>
      <c r="Y1610" t="s">
        <v>36</v>
      </c>
      <c r="Z1610" t="str">
        <f>"85356"</f>
        <v>85356</v>
      </c>
      <c r="AA1610" t="str">
        <f>""</f>
        <v/>
      </c>
      <c r="AB1610" t="s">
        <v>86</v>
      </c>
    </row>
    <row r="1611" spans="1:28" x14ac:dyDescent="0.25">
      <c r="A1611">
        <v>4507</v>
      </c>
      <c r="B1611" t="str">
        <f t="shared" ref="B1611:B1617" si="287">"140570000"</f>
        <v>140570000</v>
      </c>
      <c r="C1611" t="s">
        <v>5639</v>
      </c>
      <c r="D1611">
        <v>0</v>
      </c>
      <c r="E1611" t="str">
        <f>""</f>
        <v/>
      </c>
      <c r="G1611" t="s">
        <v>29</v>
      </c>
      <c r="H1611" t="s">
        <v>5640</v>
      </c>
      <c r="I1611" t="s">
        <v>5641</v>
      </c>
      <c r="J1611" t="s">
        <v>202</v>
      </c>
      <c r="K1611" t="str">
        <f>"9285024771"</f>
        <v>9285024771</v>
      </c>
      <c r="L1611" t="str">
        <f>""</f>
        <v/>
      </c>
      <c r="M1611" t="str">
        <f t="shared" ref="M1611:M1617" si="288">"9285024799"</f>
        <v>9285024799</v>
      </c>
      <c r="N1611" t="str">
        <f>""</f>
        <v/>
      </c>
      <c r="O1611" t="s">
        <v>5642</v>
      </c>
      <c r="P1611" t="s">
        <v>5643</v>
      </c>
      <c r="R1611" t="s">
        <v>5471</v>
      </c>
      <c r="S1611" t="s">
        <v>36</v>
      </c>
      <c r="T1611" t="str">
        <f t="shared" ref="T1611:T1621" si="289">"85364"</f>
        <v>85364</v>
      </c>
      <c r="U1611" t="str">
        <f>""</f>
        <v/>
      </c>
      <c r="V1611" t="s">
        <v>5643</v>
      </c>
      <c r="X1611" t="s">
        <v>5471</v>
      </c>
      <c r="Y1611" t="s">
        <v>36</v>
      </c>
      <c r="Z1611" t="str">
        <f>"85364"</f>
        <v>85364</v>
      </c>
      <c r="AA1611" t="str">
        <f>""</f>
        <v/>
      </c>
      <c r="AB1611" t="s">
        <v>516</v>
      </c>
    </row>
    <row r="1612" spans="1:28" x14ac:dyDescent="0.25">
      <c r="A1612">
        <v>4507</v>
      </c>
      <c r="B1612" t="str">
        <f t="shared" si="287"/>
        <v>140570000</v>
      </c>
      <c r="C1612" t="s">
        <v>5639</v>
      </c>
      <c r="D1612">
        <v>6189</v>
      </c>
      <c r="E1612" t="str">
        <f>"140570201"</f>
        <v>140570201</v>
      </c>
      <c r="F1612" t="s">
        <v>5644</v>
      </c>
      <c r="G1612" t="s">
        <v>42</v>
      </c>
      <c r="H1612" t="s">
        <v>5640</v>
      </c>
      <c r="I1612" t="s">
        <v>5641</v>
      </c>
      <c r="J1612" t="s">
        <v>202</v>
      </c>
      <c r="K1612" t="str">
        <f>"9285024771"</f>
        <v>9285024771</v>
      </c>
      <c r="L1612" t="str">
        <f>""</f>
        <v/>
      </c>
      <c r="M1612" t="str">
        <f t="shared" si="288"/>
        <v>9285024799</v>
      </c>
      <c r="N1612" t="str">
        <f>""</f>
        <v/>
      </c>
      <c r="O1612" t="s">
        <v>5642</v>
      </c>
      <c r="P1612" t="s">
        <v>5645</v>
      </c>
      <c r="R1612" t="s">
        <v>5471</v>
      </c>
      <c r="S1612" t="s">
        <v>36</v>
      </c>
      <c r="T1612" t="str">
        <f t="shared" si="289"/>
        <v>85364</v>
      </c>
      <c r="U1612" t="str">
        <f>""</f>
        <v/>
      </c>
      <c r="V1612" t="s">
        <v>5646</v>
      </c>
      <c r="X1612" t="s">
        <v>5471</v>
      </c>
      <c r="Y1612" t="s">
        <v>36</v>
      </c>
      <c r="Z1612" t="str">
        <f>"85364"</f>
        <v>85364</v>
      </c>
      <c r="AA1612" t="str">
        <f>""</f>
        <v/>
      </c>
      <c r="AB1612" t="s">
        <v>516</v>
      </c>
    </row>
    <row r="1613" spans="1:28" x14ac:dyDescent="0.25">
      <c r="A1613">
        <v>4507</v>
      </c>
      <c r="B1613" t="str">
        <f t="shared" si="287"/>
        <v>140570000</v>
      </c>
      <c r="C1613" t="s">
        <v>5639</v>
      </c>
      <c r="D1613">
        <v>6190</v>
      </c>
      <c r="E1613" t="str">
        <f>"140570202"</f>
        <v>140570202</v>
      </c>
      <c r="F1613" t="s">
        <v>5647</v>
      </c>
      <c r="G1613" t="s">
        <v>42</v>
      </c>
      <c r="H1613" t="s">
        <v>5640</v>
      </c>
      <c r="I1613" t="s">
        <v>5641</v>
      </c>
      <c r="J1613" t="s">
        <v>202</v>
      </c>
      <c r="K1613" t="str">
        <f>"9285024771"</f>
        <v>9285024771</v>
      </c>
      <c r="L1613" t="str">
        <f>""</f>
        <v/>
      </c>
      <c r="M1613" t="str">
        <f t="shared" si="288"/>
        <v>9285024799</v>
      </c>
      <c r="N1613" t="str">
        <f>""</f>
        <v/>
      </c>
      <c r="O1613" t="s">
        <v>5648</v>
      </c>
      <c r="P1613" t="s">
        <v>5645</v>
      </c>
      <c r="R1613" t="s">
        <v>5471</v>
      </c>
      <c r="S1613" t="s">
        <v>36</v>
      </c>
      <c r="T1613" t="str">
        <f t="shared" si="289"/>
        <v>85364</v>
      </c>
      <c r="U1613" t="str">
        <f>""</f>
        <v/>
      </c>
      <c r="V1613" t="s">
        <v>5649</v>
      </c>
      <c r="X1613" t="s">
        <v>5471</v>
      </c>
      <c r="Y1613" t="s">
        <v>36</v>
      </c>
      <c r="Z1613" t="str">
        <f>"85364"</f>
        <v>85364</v>
      </c>
      <c r="AA1613" t="str">
        <f>""</f>
        <v/>
      </c>
      <c r="AB1613" t="s">
        <v>516</v>
      </c>
    </row>
    <row r="1614" spans="1:28" x14ac:dyDescent="0.25">
      <c r="A1614">
        <v>4507</v>
      </c>
      <c r="B1614" t="str">
        <f t="shared" si="287"/>
        <v>140570000</v>
      </c>
      <c r="C1614" t="s">
        <v>5639</v>
      </c>
      <c r="D1614">
        <v>6191</v>
      </c>
      <c r="E1614" t="str">
        <f>"140570203"</f>
        <v>140570203</v>
      </c>
      <c r="F1614" t="s">
        <v>5650</v>
      </c>
      <c r="G1614" t="s">
        <v>42</v>
      </c>
      <c r="H1614" t="s">
        <v>424</v>
      </c>
      <c r="I1614" t="s">
        <v>379</v>
      </c>
      <c r="J1614" t="s">
        <v>1704</v>
      </c>
      <c r="K1614" t="str">
        <f>"9285024770"</f>
        <v>9285024770</v>
      </c>
      <c r="L1614" t="str">
        <f>""</f>
        <v/>
      </c>
      <c r="M1614" t="str">
        <f t="shared" si="288"/>
        <v>9285024799</v>
      </c>
      <c r="N1614" t="str">
        <f>""</f>
        <v/>
      </c>
      <c r="O1614" t="s">
        <v>5651</v>
      </c>
      <c r="P1614" t="s">
        <v>5645</v>
      </c>
      <c r="R1614" t="s">
        <v>5471</v>
      </c>
      <c r="S1614" t="s">
        <v>36</v>
      </c>
      <c r="T1614" t="str">
        <f t="shared" si="289"/>
        <v>85364</v>
      </c>
      <c r="U1614" t="str">
        <f>""</f>
        <v/>
      </c>
      <c r="V1614" t="s">
        <v>5652</v>
      </c>
      <c r="X1614" t="s">
        <v>5471</v>
      </c>
      <c r="Y1614" t="s">
        <v>36</v>
      </c>
      <c r="Z1614" t="str">
        <f>"85364"</f>
        <v>85364</v>
      </c>
      <c r="AA1614" t="str">
        <f>""</f>
        <v/>
      </c>
      <c r="AB1614" t="s">
        <v>516</v>
      </c>
    </row>
    <row r="1615" spans="1:28" x14ac:dyDescent="0.25">
      <c r="A1615">
        <v>4507</v>
      </c>
      <c r="B1615" t="str">
        <f t="shared" si="287"/>
        <v>140570000</v>
      </c>
      <c r="C1615" t="s">
        <v>5639</v>
      </c>
      <c r="D1615">
        <v>6302</v>
      </c>
      <c r="E1615" t="str">
        <f>"140570204"</f>
        <v>140570204</v>
      </c>
      <c r="F1615" t="s">
        <v>5653</v>
      </c>
      <c r="G1615" t="s">
        <v>42</v>
      </c>
      <c r="H1615" t="s">
        <v>5640</v>
      </c>
      <c r="I1615" t="s">
        <v>5641</v>
      </c>
      <c r="J1615" t="s">
        <v>202</v>
      </c>
      <c r="K1615" t="str">
        <f>"9285024771"</f>
        <v>9285024771</v>
      </c>
      <c r="L1615" t="str">
        <f>""</f>
        <v/>
      </c>
      <c r="M1615" t="str">
        <f t="shared" si="288"/>
        <v>9285024799</v>
      </c>
      <c r="N1615" t="str">
        <f>""</f>
        <v/>
      </c>
      <c r="O1615" t="s">
        <v>5648</v>
      </c>
      <c r="P1615" t="s">
        <v>5645</v>
      </c>
      <c r="R1615" t="s">
        <v>5471</v>
      </c>
      <c r="S1615" t="s">
        <v>36</v>
      </c>
      <c r="T1615" t="str">
        <f t="shared" si="289"/>
        <v>85364</v>
      </c>
      <c r="U1615" t="str">
        <f>""</f>
        <v/>
      </c>
      <c r="V1615" t="s">
        <v>5654</v>
      </c>
      <c r="X1615" t="s">
        <v>5471</v>
      </c>
      <c r="Y1615" t="s">
        <v>36</v>
      </c>
      <c r="Z1615" t="str">
        <f>"85364"</f>
        <v>85364</v>
      </c>
      <c r="AA1615" t="str">
        <f>""</f>
        <v/>
      </c>
      <c r="AB1615" t="s">
        <v>516</v>
      </c>
    </row>
    <row r="1616" spans="1:28" x14ac:dyDescent="0.25">
      <c r="A1616">
        <v>4507</v>
      </c>
      <c r="B1616" t="str">
        <f t="shared" si="287"/>
        <v>140570000</v>
      </c>
      <c r="C1616" t="s">
        <v>5639</v>
      </c>
      <c r="D1616">
        <v>80409</v>
      </c>
      <c r="E1616" t="str">
        <f>"140570205"</f>
        <v>140570205</v>
      </c>
      <c r="F1616" t="s">
        <v>5655</v>
      </c>
      <c r="G1616" t="s">
        <v>42</v>
      </c>
      <c r="H1616" t="s">
        <v>5640</v>
      </c>
      <c r="I1616" t="s">
        <v>5641</v>
      </c>
      <c r="J1616" t="s">
        <v>202</v>
      </c>
      <c r="K1616" t="str">
        <f>"9285024771"</f>
        <v>9285024771</v>
      </c>
      <c r="L1616" t="str">
        <f>""</f>
        <v/>
      </c>
      <c r="M1616" t="str">
        <f t="shared" si="288"/>
        <v>9285024799</v>
      </c>
      <c r="N1616" t="str">
        <f>""</f>
        <v/>
      </c>
      <c r="O1616" t="s">
        <v>5642</v>
      </c>
      <c r="P1616" t="s">
        <v>5645</v>
      </c>
      <c r="R1616" t="s">
        <v>5471</v>
      </c>
      <c r="S1616" t="s">
        <v>36</v>
      </c>
      <c r="T1616" t="str">
        <f t="shared" si="289"/>
        <v>85364</v>
      </c>
      <c r="U1616" t="str">
        <f>""</f>
        <v/>
      </c>
      <c r="V1616" t="s">
        <v>5656</v>
      </c>
      <c r="X1616" t="s">
        <v>4744</v>
      </c>
      <c r="Y1616" t="s">
        <v>36</v>
      </c>
      <c r="Z1616" t="str">
        <f>"85349"</f>
        <v>85349</v>
      </c>
      <c r="AA1616" t="str">
        <f>""</f>
        <v/>
      </c>
      <c r="AB1616" t="s">
        <v>516</v>
      </c>
    </row>
    <row r="1617" spans="1:28" x14ac:dyDescent="0.25">
      <c r="A1617">
        <v>4507</v>
      </c>
      <c r="B1617" t="str">
        <f t="shared" si="287"/>
        <v>140570000</v>
      </c>
      <c r="C1617" t="s">
        <v>5639</v>
      </c>
      <c r="D1617">
        <v>89576</v>
      </c>
      <c r="E1617" t="str">
        <f>"140570207"</f>
        <v>140570207</v>
      </c>
      <c r="F1617" t="s">
        <v>5657</v>
      </c>
      <c r="G1617" t="s">
        <v>42</v>
      </c>
      <c r="H1617" t="s">
        <v>5640</v>
      </c>
      <c r="I1617" t="s">
        <v>5641</v>
      </c>
      <c r="J1617" t="s">
        <v>202</v>
      </c>
      <c r="K1617" t="str">
        <f>"9285024771"</f>
        <v>9285024771</v>
      </c>
      <c r="L1617" t="str">
        <f>""</f>
        <v/>
      </c>
      <c r="M1617" t="str">
        <f t="shared" si="288"/>
        <v>9285024799</v>
      </c>
      <c r="N1617" t="str">
        <f>""</f>
        <v/>
      </c>
      <c r="O1617" t="s">
        <v>5642</v>
      </c>
      <c r="P1617" t="s">
        <v>5645</v>
      </c>
      <c r="R1617" t="s">
        <v>5471</v>
      </c>
      <c r="S1617" t="s">
        <v>36</v>
      </c>
      <c r="T1617" t="str">
        <f t="shared" si="289"/>
        <v>85364</v>
      </c>
      <c r="U1617" t="str">
        <f>""</f>
        <v/>
      </c>
      <c r="V1617" t="s">
        <v>5658</v>
      </c>
      <c r="X1617" t="s">
        <v>5471</v>
      </c>
      <c r="Y1617" t="s">
        <v>36</v>
      </c>
      <c r="Z1617" t="str">
        <f>"85364"</f>
        <v>85364</v>
      </c>
      <c r="AA1617" t="str">
        <f>""</f>
        <v/>
      </c>
      <c r="AB1617" t="s">
        <v>516</v>
      </c>
    </row>
    <row r="1618" spans="1:28" x14ac:dyDescent="0.25">
      <c r="A1618">
        <v>4508</v>
      </c>
      <c r="B1618" t="str">
        <f>"148757000"</f>
        <v>148757000</v>
      </c>
      <c r="C1618" t="s">
        <v>5659</v>
      </c>
      <c r="D1618">
        <v>0</v>
      </c>
      <c r="E1618" t="str">
        <f>""</f>
        <v/>
      </c>
      <c r="G1618" t="s">
        <v>29</v>
      </c>
      <c r="H1618" t="s">
        <v>5660</v>
      </c>
      <c r="I1618" t="s">
        <v>2435</v>
      </c>
      <c r="J1618" t="s">
        <v>5661</v>
      </c>
      <c r="K1618" t="str">
        <f>"9283141918"</f>
        <v>9283141918</v>
      </c>
      <c r="L1618" t="str">
        <f>"1925"</f>
        <v>1925</v>
      </c>
      <c r="M1618" t="str">
        <f>"9283141990"</f>
        <v>9283141990</v>
      </c>
      <c r="N1618" t="str">
        <f>""</f>
        <v/>
      </c>
      <c r="O1618" t="s">
        <v>5662</v>
      </c>
      <c r="P1618" t="s">
        <v>5663</v>
      </c>
      <c r="R1618" t="s">
        <v>5471</v>
      </c>
      <c r="S1618" t="s">
        <v>36</v>
      </c>
      <c r="T1618" t="str">
        <f t="shared" si="289"/>
        <v>85364</v>
      </c>
      <c r="U1618" t="str">
        <f>""</f>
        <v/>
      </c>
      <c r="V1618" t="s">
        <v>5663</v>
      </c>
      <c r="X1618" t="s">
        <v>5471</v>
      </c>
      <c r="Y1618" t="s">
        <v>36</v>
      </c>
      <c r="Z1618" t="str">
        <f>"85364"</f>
        <v>85364</v>
      </c>
      <c r="AA1618" t="str">
        <f>""</f>
        <v/>
      </c>
      <c r="AB1618" t="s">
        <v>86</v>
      </c>
    </row>
    <row r="1619" spans="1:28" x14ac:dyDescent="0.25">
      <c r="A1619">
        <v>4508</v>
      </c>
      <c r="B1619" t="str">
        <f>"148757000"</f>
        <v>148757000</v>
      </c>
      <c r="C1619" t="s">
        <v>5659</v>
      </c>
      <c r="D1619">
        <v>6192</v>
      </c>
      <c r="E1619" t="str">
        <f>"148757001"</f>
        <v>148757001</v>
      </c>
      <c r="F1619" t="s">
        <v>5664</v>
      </c>
      <c r="G1619" t="s">
        <v>42</v>
      </c>
      <c r="H1619" t="s">
        <v>5660</v>
      </c>
      <c r="I1619" t="s">
        <v>2435</v>
      </c>
      <c r="J1619" t="s">
        <v>5661</v>
      </c>
      <c r="K1619" t="str">
        <f>"9283141925"</f>
        <v>9283141925</v>
      </c>
      <c r="L1619" t="str">
        <f>""</f>
        <v/>
      </c>
      <c r="M1619" t="str">
        <f>"9287262826"</f>
        <v>9287262826</v>
      </c>
      <c r="N1619" t="str">
        <f>""</f>
        <v/>
      </c>
      <c r="O1619" t="s">
        <v>5662</v>
      </c>
      <c r="P1619" t="s">
        <v>5663</v>
      </c>
      <c r="R1619" t="s">
        <v>5471</v>
      </c>
      <c r="S1619" t="s">
        <v>36</v>
      </c>
      <c r="T1619" t="str">
        <f t="shared" si="289"/>
        <v>85364</v>
      </c>
      <c r="U1619" t="str">
        <f>""</f>
        <v/>
      </c>
      <c r="V1619" t="s">
        <v>5663</v>
      </c>
      <c r="X1619" t="s">
        <v>5471</v>
      </c>
      <c r="Y1619" t="s">
        <v>36</v>
      </c>
      <c r="Z1619" t="str">
        <f>"85364"</f>
        <v>85364</v>
      </c>
      <c r="AA1619" t="str">
        <f>""</f>
        <v/>
      </c>
      <c r="AB1619" t="s">
        <v>86</v>
      </c>
    </row>
    <row r="1620" spans="1:28" x14ac:dyDescent="0.25">
      <c r="A1620">
        <v>4509</v>
      </c>
      <c r="B1620" t="str">
        <f>"148758000"</f>
        <v>148758000</v>
      </c>
      <c r="C1620" t="s">
        <v>5665</v>
      </c>
      <c r="D1620">
        <v>0</v>
      </c>
      <c r="E1620" t="str">
        <f>""</f>
        <v/>
      </c>
      <c r="G1620" t="s">
        <v>29</v>
      </c>
      <c r="H1620" t="s">
        <v>5666</v>
      </c>
      <c r="I1620" t="s">
        <v>5667</v>
      </c>
      <c r="J1620" t="s">
        <v>486</v>
      </c>
      <c r="K1620" t="str">
        <f>"9283290990"</f>
        <v>9283290990</v>
      </c>
      <c r="L1620" t="str">
        <f>"131"</f>
        <v>131</v>
      </c>
      <c r="M1620" t="str">
        <f>"9283299377"</f>
        <v>9283299377</v>
      </c>
      <c r="N1620" t="str">
        <f>""</f>
        <v/>
      </c>
      <c r="O1620" t="s">
        <v>5668</v>
      </c>
      <c r="P1620" t="s">
        <v>5669</v>
      </c>
      <c r="R1620" t="s">
        <v>5471</v>
      </c>
      <c r="S1620" t="s">
        <v>36</v>
      </c>
      <c r="T1620" t="str">
        <f t="shared" si="289"/>
        <v>85364</v>
      </c>
      <c r="U1620" t="str">
        <f>""</f>
        <v/>
      </c>
      <c r="V1620" t="s">
        <v>5669</v>
      </c>
      <c r="X1620" t="s">
        <v>5471</v>
      </c>
      <c r="Y1620" t="s">
        <v>36</v>
      </c>
      <c r="Z1620" t="str">
        <f>"85364"</f>
        <v>85364</v>
      </c>
      <c r="AA1620" t="str">
        <f>""</f>
        <v/>
      </c>
      <c r="AB1620" t="s">
        <v>124</v>
      </c>
    </row>
    <row r="1621" spans="1:28" x14ac:dyDescent="0.25">
      <c r="A1621">
        <v>4509</v>
      </c>
      <c r="B1621" t="str">
        <f>"148758000"</f>
        <v>148758000</v>
      </c>
      <c r="C1621" t="s">
        <v>5665</v>
      </c>
      <c r="D1621">
        <v>6193</v>
      </c>
      <c r="E1621" t="str">
        <f>"148758201"</f>
        <v>148758201</v>
      </c>
      <c r="F1621" t="s">
        <v>5670</v>
      </c>
      <c r="G1621" t="s">
        <v>42</v>
      </c>
      <c r="H1621" t="s">
        <v>5666</v>
      </c>
      <c r="I1621" t="s">
        <v>5667</v>
      </c>
      <c r="J1621" t="s">
        <v>486</v>
      </c>
      <c r="K1621" t="str">
        <f>"9283290990"</f>
        <v>9283290990</v>
      </c>
      <c r="L1621" t="str">
        <f>"131"</f>
        <v>131</v>
      </c>
      <c r="M1621" t="str">
        <f>"9283299377"</f>
        <v>9283299377</v>
      </c>
      <c r="N1621" t="str">
        <f>""</f>
        <v/>
      </c>
      <c r="O1621" t="s">
        <v>5668</v>
      </c>
      <c r="P1621" t="s">
        <v>5669</v>
      </c>
      <c r="R1621" t="s">
        <v>5471</v>
      </c>
      <c r="S1621" t="s">
        <v>36</v>
      </c>
      <c r="T1621" t="str">
        <f t="shared" si="289"/>
        <v>85364</v>
      </c>
      <c r="U1621" t="str">
        <f>""</f>
        <v/>
      </c>
      <c r="V1621" t="s">
        <v>5669</v>
      </c>
      <c r="X1621" t="s">
        <v>5471</v>
      </c>
      <c r="Y1621" t="s">
        <v>36</v>
      </c>
      <c r="Z1621" t="str">
        <f>"85364"</f>
        <v>85364</v>
      </c>
      <c r="AA1621" t="str">
        <f>""</f>
        <v/>
      </c>
      <c r="AB1621" t="s">
        <v>124</v>
      </c>
    </row>
    <row r="1622" spans="1:28" x14ac:dyDescent="0.25">
      <c r="A1622">
        <v>4510</v>
      </c>
      <c r="B1622" t="str">
        <f t="shared" ref="B1622:B1627" si="290">"150227000"</f>
        <v>150227000</v>
      </c>
      <c r="C1622" t="s">
        <v>5671</v>
      </c>
      <c r="D1622">
        <v>0</v>
      </c>
      <c r="E1622" t="str">
        <f>""</f>
        <v/>
      </c>
      <c r="G1622" t="s">
        <v>29</v>
      </c>
      <c r="H1622" t="s">
        <v>1831</v>
      </c>
      <c r="I1622" t="s">
        <v>5672</v>
      </c>
      <c r="J1622" t="s">
        <v>118</v>
      </c>
      <c r="K1622" t="str">
        <f t="shared" ref="K1622:K1627" si="291">"9286692202"</f>
        <v>9286692202</v>
      </c>
      <c r="L1622" t="str">
        <f>"1023"</f>
        <v>1023</v>
      </c>
      <c r="M1622" t="str">
        <f>"9286692515"</f>
        <v>9286692515</v>
      </c>
      <c r="N1622" t="str">
        <f>""</f>
        <v/>
      </c>
      <c r="O1622" t="s">
        <v>5673</v>
      </c>
      <c r="P1622" t="s">
        <v>5674</v>
      </c>
      <c r="R1622" t="s">
        <v>1992</v>
      </c>
      <c r="S1622" t="s">
        <v>36</v>
      </c>
      <c r="T1622" t="str">
        <f>"85344"</f>
        <v>85344</v>
      </c>
      <c r="U1622" t="str">
        <f>""</f>
        <v/>
      </c>
      <c r="V1622" t="s">
        <v>5675</v>
      </c>
      <c r="X1622" t="s">
        <v>1992</v>
      </c>
      <c r="Y1622" t="s">
        <v>36</v>
      </c>
      <c r="Z1622" t="str">
        <f>"85344"</f>
        <v>85344</v>
      </c>
      <c r="AA1622" t="str">
        <f>""</f>
        <v/>
      </c>
      <c r="AB1622" t="s">
        <v>40</v>
      </c>
    </row>
    <row r="1623" spans="1:28" x14ac:dyDescent="0.25">
      <c r="A1623">
        <v>4510</v>
      </c>
      <c r="B1623" t="str">
        <f t="shared" si="290"/>
        <v>150227000</v>
      </c>
      <c r="C1623" t="s">
        <v>5671</v>
      </c>
      <c r="D1623">
        <v>6194</v>
      </c>
      <c r="E1623" t="str">
        <f>"150227101"</f>
        <v>150227101</v>
      </c>
      <c r="F1623" t="s">
        <v>5676</v>
      </c>
      <c r="G1623" t="s">
        <v>42</v>
      </c>
      <c r="H1623" t="s">
        <v>1831</v>
      </c>
      <c r="I1623" t="s">
        <v>5672</v>
      </c>
      <c r="J1623" t="s">
        <v>195</v>
      </c>
      <c r="K1623" t="str">
        <f t="shared" si="291"/>
        <v>9286692202</v>
      </c>
      <c r="L1623" t="str">
        <f>"1123"</f>
        <v>1123</v>
      </c>
      <c r="M1623" t="str">
        <f>"9286692515"</f>
        <v>9286692515</v>
      </c>
      <c r="N1623" t="str">
        <f>""</f>
        <v/>
      </c>
      <c r="O1623" t="s">
        <v>5673</v>
      </c>
      <c r="P1623" t="s">
        <v>5674</v>
      </c>
      <c r="R1623" t="s">
        <v>1992</v>
      </c>
      <c r="S1623" t="s">
        <v>36</v>
      </c>
      <c r="T1623" t="str">
        <f>"85344"</f>
        <v>85344</v>
      </c>
      <c r="U1623" t="str">
        <f>""</f>
        <v/>
      </c>
      <c r="V1623" t="s">
        <v>5677</v>
      </c>
      <c r="X1623" t="s">
        <v>1992</v>
      </c>
      <c r="Y1623" t="s">
        <v>36</v>
      </c>
      <c r="Z1623" t="str">
        <f>"85344"</f>
        <v>85344</v>
      </c>
      <c r="AA1623" t="str">
        <f>""</f>
        <v/>
      </c>
      <c r="AB1623" t="s">
        <v>40</v>
      </c>
    </row>
    <row r="1624" spans="1:28" x14ac:dyDescent="0.25">
      <c r="A1624">
        <v>4510</v>
      </c>
      <c r="B1624" t="str">
        <f t="shared" si="290"/>
        <v>150227000</v>
      </c>
      <c r="C1624" t="s">
        <v>5671</v>
      </c>
      <c r="D1624">
        <v>6195</v>
      </c>
      <c r="E1624" t="str">
        <f>"150227102"</f>
        <v>150227102</v>
      </c>
      <c r="F1624" t="s">
        <v>5678</v>
      </c>
      <c r="G1624" t="s">
        <v>42</v>
      </c>
      <c r="H1624" t="s">
        <v>1831</v>
      </c>
      <c r="I1624" t="s">
        <v>5672</v>
      </c>
      <c r="J1624" t="s">
        <v>195</v>
      </c>
      <c r="K1624" t="str">
        <f t="shared" si="291"/>
        <v>9286692202</v>
      </c>
      <c r="L1624" t="str">
        <f>"1124"</f>
        <v>1124</v>
      </c>
      <c r="M1624" t="str">
        <f>"9286692515"</f>
        <v>9286692515</v>
      </c>
      <c r="N1624" t="str">
        <f>""</f>
        <v/>
      </c>
      <c r="O1624" t="s">
        <v>5673</v>
      </c>
      <c r="P1624" t="s">
        <v>5674</v>
      </c>
      <c r="R1624" t="s">
        <v>1992</v>
      </c>
      <c r="S1624" t="s">
        <v>36</v>
      </c>
      <c r="T1624" t="str">
        <f>"85344"</f>
        <v>85344</v>
      </c>
      <c r="U1624" t="str">
        <f>""</f>
        <v/>
      </c>
      <c r="V1624" t="s">
        <v>5679</v>
      </c>
      <c r="X1624" t="s">
        <v>1992</v>
      </c>
      <c r="Y1624" t="s">
        <v>36</v>
      </c>
      <c r="Z1624" t="str">
        <f>"85344"</f>
        <v>85344</v>
      </c>
      <c r="AA1624" t="str">
        <f>""</f>
        <v/>
      </c>
      <c r="AB1624" t="s">
        <v>40</v>
      </c>
    </row>
    <row r="1625" spans="1:28" x14ac:dyDescent="0.25">
      <c r="A1625">
        <v>4510</v>
      </c>
      <c r="B1625" t="str">
        <f t="shared" si="290"/>
        <v>150227000</v>
      </c>
      <c r="C1625" t="s">
        <v>5671</v>
      </c>
      <c r="D1625">
        <v>6196</v>
      </c>
      <c r="E1625" t="str">
        <f>"150227103"</f>
        <v>150227103</v>
      </c>
      <c r="F1625" t="s">
        <v>5680</v>
      </c>
      <c r="G1625" t="s">
        <v>42</v>
      </c>
      <c r="H1625" t="s">
        <v>1831</v>
      </c>
      <c r="I1625" t="s">
        <v>5672</v>
      </c>
      <c r="J1625" t="s">
        <v>195</v>
      </c>
      <c r="K1625" t="str">
        <f t="shared" si="291"/>
        <v>9286692202</v>
      </c>
      <c r="L1625" t="str">
        <f>"1123"</f>
        <v>1123</v>
      </c>
      <c r="M1625" t="str">
        <f>"9286622515"</f>
        <v>9286622515</v>
      </c>
      <c r="N1625" t="str">
        <f>""</f>
        <v/>
      </c>
      <c r="O1625" t="s">
        <v>5673</v>
      </c>
      <c r="P1625" t="s">
        <v>5681</v>
      </c>
      <c r="R1625" t="s">
        <v>1992</v>
      </c>
      <c r="S1625" t="s">
        <v>36</v>
      </c>
      <c r="T1625" t="str">
        <f>"85371"</f>
        <v>85371</v>
      </c>
      <c r="U1625" t="str">
        <f>""</f>
        <v/>
      </c>
      <c r="V1625" t="s">
        <v>5682</v>
      </c>
      <c r="X1625" t="s">
        <v>1992</v>
      </c>
      <c r="Y1625" t="s">
        <v>36</v>
      </c>
      <c r="Z1625" t="str">
        <f>"85371"</f>
        <v>85371</v>
      </c>
      <c r="AA1625" t="str">
        <f>""</f>
        <v/>
      </c>
      <c r="AB1625" t="s">
        <v>40</v>
      </c>
    </row>
    <row r="1626" spans="1:28" x14ac:dyDescent="0.25">
      <c r="A1626">
        <v>4510</v>
      </c>
      <c r="B1626" t="str">
        <f t="shared" si="290"/>
        <v>150227000</v>
      </c>
      <c r="C1626" t="s">
        <v>5671</v>
      </c>
      <c r="D1626">
        <v>6197</v>
      </c>
      <c r="E1626" t="str">
        <f>"150227204"</f>
        <v>150227204</v>
      </c>
      <c r="F1626" t="s">
        <v>5683</v>
      </c>
      <c r="G1626" t="s">
        <v>42</v>
      </c>
      <c r="H1626" t="s">
        <v>1831</v>
      </c>
      <c r="I1626" t="s">
        <v>5672</v>
      </c>
      <c r="J1626" t="s">
        <v>195</v>
      </c>
      <c r="K1626" t="str">
        <f t="shared" si="291"/>
        <v>9286692202</v>
      </c>
      <c r="L1626" t="str">
        <f>"1123"</f>
        <v>1123</v>
      </c>
      <c r="M1626" t="str">
        <f>"9286692515"</f>
        <v>9286692515</v>
      </c>
      <c r="N1626" t="str">
        <f>""</f>
        <v/>
      </c>
      <c r="O1626" t="s">
        <v>5673</v>
      </c>
      <c r="P1626" t="s">
        <v>5674</v>
      </c>
      <c r="R1626" t="s">
        <v>1992</v>
      </c>
      <c r="S1626" t="s">
        <v>36</v>
      </c>
      <c r="T1626" t="str">
        <f>"85344"</f>
        <v>85344</v>
      </c>
      <c r="U1626" t="str">
        <f>""</f>
        <v/>
      </c>
      <c r="V1626" t="s">
        <v>5684</v>
      </c>
      <c r="X1626" t="s">
        <v>1992</v>
      </c>
      <c r="Y1626" t="s">
        <v>36</v>
      </c>
      <c r="Z1626" t="str">
        <f>"85344"</f>
        <v>85344</v>
      </c>
      <c r="AA1626" t="str">
        <f>""</f>
        <v/>
      </c>
      <c r="AB1626" t="s">
        <v>40</v>
      </c>
    </row>
    <row r="1627" spans="1:28" x14ac:dyDescent="0.25">
      <c r="A1627">
        <v>4510</v>
      </c>
      <c r="B1627" t="str">
        <f t="shared" si="290"/>
        <v>150227000</v>
      </c>
      <c r="C1627" t="s">
        <v>5671</v>
      </c>
      <c r="D1627">
        <v>78929</v>
      </c>
      <c r="E1627" t="str">
        <f>"150227105"</f>
        <v>150227105</v>
      </c>
      <c r="F1627" t="s">
        <v>5685</v>
      </c>
      <c r="G1627" t="s">
        <v>42</v>
      </c>
      <c r="H1627" t="s">
        <v>1831</v>
      </c>
      <c r="I1627" t="s">
        <v>5672</v>
      </c>
      <c r="J1627" t="s">
        <v>195</v>
      </c>
      <c r="K1627" t="str">
        <f t="shared" si="291"/>
        <v>9286692202</v>
      </c>
      <c r="L1627" t="str">
        <f>"1023"</f>
        <v>1023</v>
      </c>
      <c r="M1627" t="str">
        <f>"9286692515"</f>
        <v>9286692515</v>
      </c>
      <c r="N1627" t="str">
        <f>""</f>
        <v/>
      </c>
      <c r="O1627" t="s">
        <v>5673</v>
      </c>
      <c r="P1627" t="s">
        <v>5686</v>
      </c>
      <c r="R1627" t="s">
        <v>5687</v>
      </c>
      <c r="S1627" t="s">
        <v>36</v>
      </c>
      <c r="T1627" t="str">
        <f>"85344"</f>
        <v>85344</v>
      </c>
      <c r="U1627" t="str">
        <f>""</f>
        <v/>
      </c>
      <c r="V1627" t="s">
        <v>5686</v>
      </c>
      <c r="X1627" t="s">
        <v>5687</v>
      </c>
      <c r="Y1627" t="s">
        <v>36</v>
      </c>
      <c r="Z1627" t="str">
        <f>"85344"</f>
        <v>85344</v>
      </c>
      <c r="AA1627" t="str">
        <f>""</f>
        <v/>
      </c>
      <c r="AB1627" t="s">
        <v>40</v>
      </c>
    </row>
    <row r="1628" spans="1:28" x14ac:dyDescent="0.25">
      <c r="A1628">
        <v>4511</v>
      </c>
      <c r="B1628" t="str">
        <f>"150404000"</f>
        <v>150404000</v>
      </c>
      <c r="C1628" t="s">
        <v>5688</v>
      </c>
      <c r="D1628">
        <v>0</v>
      </c>
      <c r="E1628" t="str">
        <f>""</f>
        <v/>
      </c>
      <c r="G1628" t="s">
        <v>29</v>
      </c>
      <c r="H1628" t="s">
        <v>5689</v>
      </c>
      <c r="I1628" t="s">
        <v>2949</v>
      </c>
      <c r="J1628" t="s">
        <v>301</v>
      </c>
      <c r="K1628" t="str">
        <f>"9289237900"</f>
        <v>9289237900</v>
      </c>
      <c r="L1628" t="str">
        <f>""</f>
        <v/>
      </c>
      <c r="M1628" t="str">
        <f>"9289238908"</f>
        <v>9289238908</v>
      </c>
      <c r="N1628" t="str">
        <f>""</f>
        <v/>
      </c>
      <c r="O1628" t="s">
        <v>5690</v>
      </c>
      <c r="P1628" t="s">
        <v>5691</v>
      </c>
      <c r="R1628" t="s">
        <v>5692</v>
      </c>
      <c r="S1628" t="s">
        <v>36</v>
      </c>
      <c r="T1628" t="str">
        <f>"85334"</f>
        <v>85334</v>
      </c>
      <c r="U1628" t="str">
        <f>""</f>
        <v/>
      </c>
      <c r="V1628" t="s">
        <v>5693</v>
      </c>
      <c r="X1628" t="s">
        <v>5692</v>
      </c>
      <c r="Y1628" t="s">
        <v>36</v>
      </c>
      <c r="Z1628" t="str">
        <f>"85334"</f>
        <v>85334</v>
      </c>
      <c r="AA1628" t="str">
        <f>""</f>
        <v/>
      </c>
      <c r="AB1628" t="s">
        <v>516</v>
      </c>
    </row>
    <row r="1629" spans="1:28" x14ac:dyDescent="0.25">
      <c r="A1629">
        <v>4511</v>
      </c>
      <c r="B1629" t="str">
        <f>"150404000"</f>
        <v>150404000</v>
      </c>
      <c r="C1629" t="s">
        <v>5688</v>
      </c>
      <c r="D1629">
        <v>6198</v>
      </c>
      <c r="E1629" t="str">
        <f>"150404101"</f>
        <v>150404101</v>
      </c>
      <c r="F1629" t="s">
        <v>5694</v>
      </c>
      <c r="G1629" t="s">
        <v>42</v>
      </c>
      <c r="H1629" t="s">
        <v>5695</v>
      </c>
      <c r="I1629" t="s">
        <v>2949</v>
      </c>
      <c r="J1629" t="s">
        <v>716</v>
      </c>
      <c r="K1629" t="str">
        <f>"9289237900"</f>
        <v>9289237900</v>
      </c>
      <c r="L1629" t="str">
        <f>"1021"</f>
        <v>1021</v>
      </c>
      <c r="M1629" t="str">
        <f>"9289238908"</f>
        <v>9289238908</v>
      </c>
      <c r="N1629" t="str">
        <f>""</f>
        <v/>
      </c>
      <c r="O1629" t="s">
        <v>5696</v>
      </c>
      <c r="P1629" t="s">
        <v>5691</v>
      </c>
      <c r="R1629" t="s">
        <v>5692</v>
      </c>
      <c r="S1629" t="s">
        <v>36</v>
      </c>
      <c r="T1629" t="str">
        <f>"85334"</f>
        <v>85334</v>
      </c>
      <c r="U1629" t="str">
        <f>""</f>
        <v/>
      </c>
      <c r="V1629" t="s">
        <v>5693</v>
      </c>
      <c r="X1629" t="s">
        <v>5692</v>
      </c>
      <c r="Y1629" t="s">
        <v>36</v>
      </c>
      <c r="Z1629" t="str">
        <f>"85334"</f>
        <v>85334</v>
      </c>
      <c r="AA1629" t="str">
        <f>""</f>
        <v/>
      </c>
      <c r="AB1629" t="s">
        <v>516</v>
      </c>
    </row>
    <row r="1630" spans="1:28" x14ac:dyDescent="0.25">
      <c r="A1630">
        <v>4511</v>
      </c>
      <c r="B1630" t="str">
        <f>"150404000"</f>
        <v>150404000</v>
      </c>
      <c r="C1630" t="s">
        <v>5688</v>
      </c>
      <c r="D1630">
        <v>6199</v>
      </c>
      <c r="E1630" t="str">
        <f>"150404102"</f>
        <v>150404102</v>
      </c>
      <c r="F1630" t="s">
        <v>5697</v>
      </c>
      <c r="G1630" t="s">
        <v>42</v>
      </c>
      <c r="H1630" t="s">
        <v>5695</v>
      </c>
      <c r="I1630" t="s">
        <v>2949</v>
      </c>
      <c r="J1630" t="s">
        <v>716</v>
      </c>
      <c r="K1630" t="str">
        <f>"9289237900"</f>
        <v>9289237900</v>
      </c>
      <c r="L1630" t="str">
        <f>"1021"</f>
        <v>1021</v>
      </c>
      <c r="M1630" t="str">
        <f>"9289238908"</f>
        <v>9289238908</v>
      </c>
      <c r="N1630" t="str">
        <f>""</f>
        <v/>
      </c>
      <c r="O1630" t="s">
        <v>5690</v>
      </c>
      <c r="P1630" t="s">
        <v>5691</v>
      </c>
      <c r="R1630" t="s">
        <v>5692</v>
      </c>
      <c r="S1630" t="s">
        <v>36</v>
      </c>
      <c r="T1630" t="str">
        <f>"85334"</f>
        <v>85334</v>
      </c>
      <c r="U1630" t="str">
        <f>""</f>
        <v/>
      </c>
      <c r="V1630" t="s">
        <v>5698</v>
      </c>
      <c r="X1630" t="s">
        <v>5699</v>
      </c>
      <c r="Y1630" t="s">
        <v>36</v>
      </c>
      <c r="Z1630" t="str">
        <f>"85346"</f>
        <v>85346</v>
      </c>
      <c r="AA1630" t="str">
        <f>""</f>
        <v/>
      </c>
      <c r="AB1630" t="s">
        <v>516</v>
      </c>
    </row>
    <row r="1631" spans="1:28" x14ac:dyDescent="0.25">
      <c r="A1631">
        <v>4512</v>
      </c>
      <c r="B1631" t="str">
        <f>"150419000"</f>
        <v>150419000</v>
      </c>
      <c r="C1631" t="s">
        <v>5700</v>
      </c>
      <c r="D1631">
        <v>0</v>
      </c>
      <c r="E1631" t="str">
        <f>""</f>
        <v/>
      </c>
      <c r="G1631" t="s">
        <v>29</v>
      </c>
      <c r="H1631" t="s">
        <v>5701</v>
      </c>
      <c r="I1631" t="s">
        <v>5702</v>
      </c>
      <c r="J1631" t="s">
        <v>5703</v>
      </c>
      <c r="K1631" t="str">
        <f t="shared" ref="K1631:K1636" si="292">"9285805056"</f>
        <v>9285805056</v>
      </c>
      <c r="L1631" t="str">
        <f>""</f>
        <v/>
      </c>
      <c r="M1631" t="str">
        <f>"9288594268"</f>
        <v>9288594268</v>
      </c>
      <c r="N1631" t="str">
        <f>""</f>
        <v/>
      </c>
      <c r="O1631" t="s">
        <v>5704</v>
      </c>
      <c r="P1631" t="s">
        <v>451</v>
      </c>
      <c r="R1631" t="s">
        <v>5705</v>
      </c>
      <c r="S1631" t="s">
        <v>36</v>
      </c>
      <c r="T1631" t="str">
        <f>"85357"</f>
        <v>85357</v>
      </c>
      <c r="U1631" t="str">
        <f>""</f>
        <v/>
      </c>
      <c r="V1631" t="s">
        <v>5706</v>
      </c>
      <c r="X1631" t="s">
        <v>5705</v>
      </c>
      <c r="Y1631" t="s">
        <v>36</v>
      </c>
      <c r="Z1631" t="str">
        <f>"85357"</f>
        <v>85357</v>
      </c>
      <c r="AA1631" t="str">
        <f>""</f>
        <v/>
      </c>
      <c r="AB1631" t="s">
        <v>124</v>
      </c>
    </row>
    <row r="1632" spans="1:28" x14ac:dyDescent="0.25">
      <c r="A1632">
        <v>4512</v>
      </c>
      <c r="B1632" t="str">
        <f>"150419000"</f>
        <v>150419000</v>
      </c>
      <c r="C1632" t="s">
        <v>5700</v>
      </c>
      <c r="D1632">
        <v>6200</v>
      </c>
      <c r="E1632" t="str">
        <f>"150419101"</f>
        <v>150419101</v>
      </c>
      <c r="F1632" t="s">
        <v>5707</v>
      </c>
      <c r="G1632" t="s">
        <v>42</v>
      </c>
      <c r="H1632" t="s">
        <v>5701</v>
      </c>
      <c r="I1632" t="s">
        <v>5702</v>
      </c>
      <c r="J1632" t="s">
        <v>5708</v>
      </c>
      <c r="K1632" t="str">
        <f t="shared" si="292"/>
        <v>9285805056</v>
      </c>
      <c r="L1632" t="str">
        <f>""</f>
        <v/>
      </c>
      <c r="M1632" t="str">
        <f>"9288594268"</f>
        <v>9288594268</v>
      </c>
      <c r="N1632" t="str">
        <f>""</f>
        <v/>
      </c>
      <c r="O1632" t="s">
        <v>5704</v>
      </c>
      <c r="P1632" t="s">
        <v>451</v>
      </c>
      <c r="R1632" t="s">
        <v>5705</v>
      </c>
      <c r="S1632" t="s">
        <v>36</v>
      </c>
      <c r="T1632" t="str">
        <f>"85357"</f>
        <v>85357</v>
      </c>
      <c r="U1632" t="str">
        <f>""</f>
        <v/>
      </c>
      <c r="V1632" t="s">
        <v>5706</v>
      </c>
      <c r="X1632" t="s">
        <v>5705</v>
      </c>
      <c r="Y1632" t="s">
        <v>36</v>
      </c>
      <c r="Z1632" t="str">
        <f>"85357"</f>
        <v>85357</v>
      </c>
      <c r="AA1632" t="str">
        <f>""</f>
        <v/>
      </c>
      <c r="AB1632" t="s">
        <v>124</v>
      </c>
    </row>
    <row r="1633" spans="1:28" x14ac:dyDescent="0.25">
      <c r="A1633">
        <v>4513</v>
      </c>
      <c r="B1633" t="str">
        <f>"150426000"</f>
        <v>150426000</v>
      </c>
      <c r="C1633" t="s">
        <v>5709</v>
      </c>
      <c r="D1633">
        <v>0</v>
      </c>
      <c r="E1633" t="str">
        <f>""</f>
        <v/>
      </c>
      <c r="G1633" t="s">
        <v>29</v>
      </c>
      <c r="H1633" t="s">
        <v>5701</v>
      </c>
      <c r="I1633" t="s">
        <v>5702</v>
      </c>
      <c r="J1633" t="s">
        <v>315</v>
      </c>
      <c r="K1633" t="str">
        <f t="shared" si="292"/>
        <v>9285805056</v>
      </c>
      <c r="L1633" t="str">
        <f>""</f>
        <v/>
      </c>
      <c r="M1633" t="str">
        <f>""</f>
        <v/>
      </c>
      <c r="N1633" t="str">
        <f>""</f>
        <v/>
      </c>
      <c r="O1633" t="s">
        <v>5704</v>
      </c>
      <c r="P1633" t="s">
        <v>5710</v>
      </c>
      <c r="R1633" t="s">
        <v>5711</v>
      </c>
      <c r="S1633" t="s">
        <v>36</v>
      </c>
      <c r="T1633" t="str">
        <f>"85325"</f>
        <v>85325</v>
      </c>
      <c r="U1633" t="str">
        <f>"0395"</f>
        <v>0395</v>
      </c>
      <c r="V1633" t="s">
        <v>5712</v>
      </c>
      <c r="X1633" t="s">
        <v>5713</v>
      </c>
      <c r="Y1633" t="s">
        <v>36</v>
      </c>
      <c r="Z1633" t="str">
        <f>"85325"</f>
        <v>85325</v>
      </c>
      <c r="AA1633" t="str">
        <f>"0395"</f>
        <v>0395</v>
      </c>
      <c r="AB1633" t="s">
        <v>508</v>
      </c>
    </row>
    <row r="1634" spans="1:28" x14ac:dyDescent="0.25">
      <c r="A1634">
        <v>4513</v>
      </c>
      <c r="B1634" t="str">
        <f>"150426000"</f>
        <v>150426000</v>
      </c>
      <c r="C1634" t="s">
        <v>5709</v>
      </c>
      <c r="D1634">
        <v>6201</v>
      </c>
      <c r="E1634" t="str">
        <f>"150426101"</f>
        <v>150426101</v>
      </c>
      <c r="F1634" t="s">
        <v>5714</v>
      </c>
      <c r="G1634" t="s">
        <v>42</v>
      </c>
      <c r="H1634" t="s">
        <v>5701</v>
      </c>
      <c r="I1634" t="s">
        <v>5702</v>
      </c>
      <c r="J1634" t="s">
        <v>315</v>
      </c>
      <c r="K1634" t="str">
        <f t="shared" si="292"/>
        <v>9285805056</v>
      </c>
      <c r="L1634" t="str">
        <f>""</f>
        <v/>
      </c>
      <c r="M1634" t="str">
        <f>"9288594268"</f>
        <v>9288594268</v>
      </c>
      <c r="N1634" t="str">
        <f>""</f>
        <v/>
      </c>
      <c r="O1634" t="s">
        <v>5704</v>
      </c>
      <c r="P1634" t="s">
        <v>5715</v>
      </c>
      <c r="R1634" t="s">
        <v>5713</v>
      </c>
      <c r="S1634" t="s">
        <v>36</v>
      </c>
      <c r="T1634" t="str">
        <f>"85325"</f>
        <v>85325</v>
      </c>
      <c r="U1634" t="str">
        <f>""</f>
        <v/>
      </c>
      <c r="V1634" t="s">
        <v>5716</v>
      </c>
      <c r="X1634" t="s">
        <v>5711</v>
      </c>
      <c r="Y1634" t="s">
        <v>36</v>
      </c>
      <c r="Z1634" t="str">
        <f>"85325"</f>
        <v>85325</v>
      </c>
      <c r="AA1634" t="str">
        <f>""</f>
        <v/>
      </c>
      <c r="AB1634" t="s">
        <v>508</v>
      </c>
    </row>
    <row r="1635" spans="1:28" x14ac:dyDescent="0.25">
      <c r="A1635">
        <v>4514</v>
      </c>
      <c r="B1635" t="str">
        <f>"150430000"</f>
        <v>150430000</v>
      </c>
      <c r="C1635" t="s">
        <v>5717</v>
      </c>
      <c r="D1635">
        <v>0</v>
      </c>
      <c r="E1635" t="str">
        <f>""</f>
        <v/>
      </c>
      <c r="G1635" t="s">
        <v>29</v>
      </c>
      <c r="H1635" t="s">
        <v>5701</v>
      </c>
      <c r="I1635" t="s">
        <v>5702</v>
      </c>
      <c r="J1635" t="s">
        <v>5718</v>
      </c>
      <c r="K1635" t="str">
        <f t="shared" si="292"/>
        <v>9285805056</v>
      </c>
      <c r="L1635" t="str">
        <f>""</f>
        <v/>
      </c>
      <c r="M1635" t="str">
        <f>"9288594268"</f>
        <v>9288594268</v>
      </c>
      <c r="N1635" t="str">
        <f>""</f>
        <v/>
      </c>
      <c r="O1635" t="s">
        <v>5704</v>
      </c>
      <c r="P1635" t="s">
        <v>5719</v>
      </c>
      <c r="R1635" t="s">
        <v>5720</v>
      </c>
      <c r="S1635" t="s">
        <v>36</v>
      </c>
      <c r="T1635" t="str">
        <f>"85348"</f>
        <v>85348</v>
      </c>
      <c r="U1635" t="str">
        <f>""</f>
        <v/>
      </c>
      <c r="V1635" t="s">
        <v>5721</v>
      </c>
      <c r="X1635" t="s">
        <v>5720</v>
      </c>
      <c r="Y1635" t="s">
        <v>36</v>
      </c>
      <c r="Z1635" t="str">
        <f>"85348"</f>
        <v>85348</v>
      </c>
      <c r="AA1635" t="str">
        <f>""</f>
        <v/>
      </c>
      <c r="AB1635" t="s">
        <v>124</v>
      </c>
    </row>
    <row r="1636" spans="1:28" x14ac:dyDescent="0.25">
      <c r="A1636">
        <v>4514</v>
      </c>
      <c r="B1636" t="str">
        <f>"150430000"</f>
        <v>150430000</v>
      </c>
      <c r="C1636" t="s">
        <v>5717</v>
      </c>
      <c r="D1636">
        <v>6202</v>
      </c>
      <c r="E1636" t="str">
        <f>"150430101"</f>
        <v>150430101</v>
      </c>
      <c r="F1636" t="s">
        <v>5722</v>
      </c>
      <c r="G1636" t="s">
        <v>42</v>
      </c>
      <c r="H1636" t="s">
        <v>5701</v>
      </c>
      <c r="I1636" t="s">
        <v>5702</v>
      </c>
      <c r="J1636" t="s">
        <v>5708</v>
      </c>
      <c r="K1636" t="str">
        <f t="shared" si="292"/>
        <v>9285805056</v>
      </c>
      <c r="L1636" t="str">
        <f>""</f>
        <v/>
      </c>
      <c r="M1636" t="str">
        <f>"9288594268"</f>
        <v>9288594268</v>
      </c>
      <c r="N1636" t="str">
        <f>""</f>
        <v/>
      </c>
      <c r="O1636" t="s">
        <v>5704</v>
      </c>
      <c r="P1636" t="s">
        <v>5719</v>
      </c>
      <c r="R1636" t="s">
        <v>5720</v>
      </c>
      <c r="S1636" t="s">
        <v>36</v>
      </c>
      <c r="T1636" t="str">
        <f>"85348"</f>
        <v>85348</v>
      </c>
      <c r="U1636" t="str">
        <f>""</f>
        <v/>
      </c>
      <c r="V1636" t="s">
        <v>5721</v>
      </c>
      <c r="X1636" t="s">
        <v>5720</v>
      </c>
      <c r="Y1636" t="s">
        <v>36</v>
      </c>
      <c r="Z1636" t="str">
        <f>"85348"</f>
        <v>85348</v>
      </c>
      <c r="AA1636" t="str">
        <f>""</f>
        <v/>
      </c>
      <c r="AB1636" t="s">
        <v>124</v>
      </c>
    </row>
    <row r="1637" spans="1:28" x14ac:dyDescent="0.25">
      <c r="A1637">
        <v>4515</v>
      </c>
      <c r="B1637" t="str">
        <f>"150576000"</f>
        <v>150576000</v>
      </c>
      <c r="C1637" t="s">
        <v>5723</v>
      </c>
      <c r="D1637">
        <v>0</v>
      </c>
      <c r="E1637" t="str">
        <f>""</f>
        <v/>
      </c>
      <c r="G1637" t="s">
        <v>29</v>
      </c>
      <c r="H1637" t="s">
        <v>2850</v>
      </c>
      <c r="I1637" t="s">
        <v>5724</v>
      </c>
      <c r="J1637" t="s">
        <v>32</v>
      </c>
      <c r="K1637" t="str">
        <f>"9288593453"</f>
        <v>9288593453</v>
      </c>
      <c r="L1637" t="str">
        <f>"1701"</f>
        <v>1701</v>
      </c>
      <c r="M1637" t="str">
        <f>"9288593875"</f>
        <v>9288593875</v>
      </c>
      <c r="N1637" t="str">
        <f>""</f>
        <v/>
      </c>
      <c r="O1637" t="s">
        <v>5725</v>
      </c>
      <c r="P1637" t="s">
        <v>5726</v>
      </c>
      <c r="R1637" t="s">
        <v>5720</v>
      </c>
      <c r="S1637" t="s">
        <v>36</v>
      </c>
      <c r="T1637" t="str">
        <f>"85348"</f>
        <v>85348</v>
      </c>
      <c r="U1637" t="str">
        <f>"0519"</f>
        <v>0519</v>
      </c>
      <c r="V1637" t="s">
        <v>5727</v>
      </c>
      <c r="X1637" t="s">
        <v>5720</v>
      </c>
      <c r="Y1637" t="s">
        <v>36</v>
      </c>
      <c r="Z1637" t="str">
        <f>"85348"</f>
        <v>85348</v>
      </c>
      <c r="AA1637" t="str">
        <f>"0519"</f>
        <v>0519</v>
      </c>
      <c r="AB1637" t="s">
        <v>156</v>
      </c>
    </row>
    <row r="1638" spans="1:28" x14ac:dyDescent="0.25">
      <c r="A1638">
        <v>4515</v>
      </c>
      <c r="B1638" t="str">
        <f>"150576000"</f>
        <v>150576000</v>
      </c>
      <c r="C1638" t="s">
        <v>5723</v>
      </c>
      <c r="D1638">
        <v>6203</v>
      </c>
      <c r="E1638" t="str">
        <f>"150576201"</f>
        <v>150576201</v>
      </c>
      <c r="F1638" t="s">
        <v>5728</v>
      </c>
      <c r="G1638" t="s">
        <v>42</v>
      </c>
      <c r="H1638" t="s">
        <v>2850</v>
      </c>
      <c r="I1638" t="s">
        <v>5724</v>
      </c>
      <c r="J1638" t="s">
        <v>315</v>
      </c>
      <c r="K1638" t="str">
        <f>"9288593453"</f>
        <v>9288593453</v>
      </c>
      <c r="L1638" t="str">
        <f>"1701"</f>
        <v>1701</v>
      </c>
      <c r="M1638" t="str">
        <f>"9288593875"</f>
        <v>9288593875</v>
      </c>
      <c r="N1638" t="str">
        <f>""</f>
        <v/>
      </c>
      <c r="O1638" t="s">
        <v>5725</v>
      </c>
      <c r="P1638" t="s">
        <v>5726</v>
      </c>
      <c r="R1638" t="s">
        <v>5720</v>
      </c>
      <c r="S1638" t="s">
        <v>36</v>
      </c>
      <c r="T1638" t="str">
        <f>"85348"</f>
        <v>85348</v>
      </c>
      <c r="U1638" t="str">
        <f>"0519"</f>
        <v>0519</v>
      </c>
      <c r="V1638" t="s">
        <v>5727</v>
      </c>
      <c r="X1638" t="s">
        <v>5720</v>
      </c>
      <c r="Y1638" t="s">
        <v>36</v>
      </c>
      <c r="Z1638" t="str">
        <f>"85348"</f>
        <v>85348</v>
      </c>
      <c r="AA1638" t="str">
        <f>"0519"</f>
        <v>0519</v>
      </c>
      <c r="AB1638" t="s">
        <v>156</v>
      </c>
    </row>
    <row r="1639" spans="1:28" x14ac:dyDescent="0.25">
      <c r="A1639">
        <v>5174</v>
      </c>
      <c r="B1639" t="str">
        <f>"078751000"</f>
        <v>078751000</v>
      </c>
      <c r="C1639" t="s">
        <v>5729</v>
      </c>
      <c r="D1639">
        <v>0</v>
      </c>
      <c r="E1639" t="str">
        <f>""</f>
        <v/>
      </c>
      <c r="G1639" t="s">
        <v>29</v>
      </c>
      <c r="H1639" t="s">
        <v>260</v>
      </c>
      <c r="I1639" t="s">
        <v>66</v>
      </c>
      <c r="J1639" t="s">
        <v>202</v>
      </c>
      <c r="K1639" t="str">
        <f>"4807314829"</f>
        <v>4807314829</v>
      </c>
      <c r="L1639" t="str">
        <f>""</f>
        <v/>
      </c>
      <c r="M1639" t="str">
        <f>"4809452008"</f>
        <v>4809452008</v>
      </c>
      <c r="N1639" t="str">
        <f>""</f>
        <v/>
      </c>
      <c r="O1639" t="s">
        <v>5730</v>
      </c>
      <c r="P1639" t="s">
        <v>5731</v>
      </c>
      <c r="R1639" t="s">
        <v>967</v>
      </c>
      <c r="S1639" t="s">
        <v>36</v>
      </c>
      <c r="T1639" t="str">
        <f>"85281"</f>
        <v>85281</v>
      </c>
      <c r="U1639" t="str">
        <f>""</f>
        <v/>
      </c>
      <c r="V1639" t="s">
        <v>5731</v>
      </c>
      <c r="X1639" t="s">
        <v>967</v>
      </c>
      <c r="Y1639" t="s">
        <v>36</v>
      </c>
      <c r="Z1639" t="str">
        <f>"85281"</f>
        <v>85281</v>
      </c>
      <c r="AA1639" t="str">
        <f>""</f>
        <v/>
      </c>
      <c r="AB1639" t="s">
        <v>508</v>
      </c>
    </row>
    <row r="1640" spans="1:28" x14ac:dyDescent="0.25">
      <c r="A1640">
        <v>5174</v>
      </c>
      <c r="B1640" t="str">
        <f>"078751000"</f>
        <v>078751000</v>
      </c>
      <c r="C1640" t="s">
        <v>5729</v>
      </c>
      <c r="D1640">
        <v>10811</v>
      </c>
      <c r="E1640" t="str">
        <f>"078751001"</f>
        <v>078751001</v>
      </c>
      <c r="F1640" t="s">
        <v>5732</v>
      </c>
      <c r="G1640" t="s">
        <v>42</v>
      </c>
      <c r="H1640" t="s">
        <v>260</v>
      </c>
      <c r="I1640" t="s">
        <v>66</v>
      </c>
      <c r="J1640" t="s">
        <v>195</v>
      </c>
      <c r="K1640" t="str">
        <f>"4807314829"</f>
        <v>4807314829</v>
      </c>
      <c r="L1640" t="str">
        <f>""</f>
        <v/>
      </c>
      <c r="M1640" t="str">
        <f>"4809452008"</f>
        <v>4809452008</v>
      </c>
      <c r="N1640" t="str">
        <f>""</f>
        <v/>
      </c>
      <c r="O1640" t="s">
        <v>5730</v>
      </c>
      <c r="P1640" t="s">
        <v>5731</v>
      </c>
      <c r="R1640" t="s">
        <v>967</v>
      </c>
      <c r="S1640" t="s">
        <v>36</v>
      </c>
      <c r="T1640" t="str">
        <f>"85281"</f>
        <v>85281</v>
      </c>
      <c r="U1640" t="str">
        <f>""</f>
        <v/>
      </c>
      <c r="V1640" t="s">
        <v>5731</v>
      </c>
      <c r="X1640" t="s">
        <v>967</v>
      </c>
      <c r="Y1640" t="s">
        <v>36</v>
      </c>
      <c r="Z1640" t="str">
        <f>"85281"</f>
        <v>85281</v>
      </c>
      <c r="AA1640" t="str">
        <f>""</f>
        <v/>
      </c>
      <c r="AB1640" t="s">
        <v>508</v>
      </c>
    </row>
    <row r="1641" spans="1:28" x14ac:dyDescent="0.25">
      <c r="A1641">
        <v>5180</v>
      </c>
      <c r="B1641" t="str">
        <f>"078912000"</f>
        <v>078912000</v>
      </c>
      <c r="C1641" t="s">
        <v>5733</v>
      </c>
      <c r="D1641">
        <v>0</v>
      </c>
      <c r="E1641" t="str">
        <f>""</f>
        <v/>
      </c>
      <c r="G1641" t="s">
        <v>29</v>
      </c>
      <c r="H1641" t="s">
        <v>5734</v>
      </c>
      <c r="I1641" t="s">
        <v>5735</v>
      </c>
      <c r="J1641" t="s">
        <v>5736</v>
      </c>
      <c r="K1641" t="str">
        <f>"6234557470"</f>
        <v>6234557470</v>
      </c>
      <c r="L1641" t="str">
        <f>""</f>
        <v/>
      </c>
      <c r="M1641" t="str">
        <f>"6239754380"</f>
        <v>6239754380</v>
      </c>
      <c r="N1641" t="str">
        <f>""</f>
        <v/>
      </c>
      <c r="O1641" t="s">
        <v>5737</v>
      </c>
      <c r="P1641" t="s">
        <v>5738</v>
      </c>
      <c r="R1641" t="s">
        <v>1806</v>
      </c>
      <c r="S1641" t="s">
        <v>36</v>
      </c>
      <c r="T1641" t="str">
        <f>"85388"</f>
        <v>85388</v>
      </c>
      <c r="U1641" t="str">
        <f>""</f>
        <v/>
      </c>
      <c r="V1641" t="s">
        <v>5738</v>
      </c>
      <c r="X1641" t="s">
        <v>1806</v>
      </c>
      <c r="Y1641" t="s">
        <v>36</v>
      </c>
      <c r="Z1641" t="str">
        <f>"85388"</f>
        <v>85388</v>
      </c>
      <c r="AA1641" t="str">
        <f>""</f>
        <v/>
      </c>
      <c r="AB1641" t="s">
        <v>86</v>
      </c>
    </row>
    <row r="1642" spans="1:28" x14ac:dyDescent="0.25">
      <c r="A1642">
        <v>5180</v>
      </c>
      <c r="B1642" t="str">
        <f>"078912000"</f>
        <v>078912000</v>
      </c>
      <c r="C1642" t="s">
        <v>5733</v>
      </c>
      <c r="D1642">
        <v>10820</v>
      </c>
      <c r="E1642" t="str">
        <f>"078912101"</f>
        <v>078912101</v>
      </c>
      <c r="F1642" t="s">
        <v>5739</v>
      </c>
      <c r="G1642" t="s">
        <v>42</v>
      </c>
      <c r="H1642" t="s">
        <v>293</v>
      </c>
      <c r="I1642" t="s">
        <v>5740</v>
      </c>
      <c r="J1642" t="s">
        <v>5741</v>
      </c>
      <c r="K1642" t="str">
        <f>"6234557405"</f>
        <v>6234557405</v>
      </c>
      <c r="L1642" t="str">
        <f>""</f>
        <v/>
      </c>
      <c r="M1642" t="str">
        <f>"6239754380"</f>
        <v>6239754380</v>
      </c>
      <c r="N1642" t="str">
        <f>""</f>
        <v/>
      </c>
      <c r="O1642" t="s">
        <v>5742</v>
      </c>
      <c r="P1642" t="s">
        <v>5743</v>
      </c>
      <c r="R1642" t="s">
        <v>1806</v>
      </c>
      <c r="S1642" t="s">
        <v>36</v>
      </c>
      <c r="T1642" t="str">
        <f>"85388"</f>
        <v>85388</v>
      </c>
      <c r="U1642" t="str">
        <f>""</f>
        <v/>
      </c>
      <c r="V1642" t="s">
        <v>5744</v>
      </c>
      <c r="X1642" t="s">
        <v>1806</v>
      </c>
      <c r="Y1642" t="s">
        <v>36</v>
      </c>
      <c r="Z1642" t="str">
        <f>"85374"</f>
        <v>85374</v>
      </c>
      <c r="AA1642" t="str">
        <f>""</f>
        <v/>
      </c>
      <c r="AB1642" t="s">
        <v>86</v>
      </c>
    </row>
    <row r="1643" spans="1:28" x14ac:dyDescent="0.25">
      <c r="A1643">
        <v>5180</v>
      </c>
      <c r="B1643" t="str">
        <f>"078912000"</f>
        <v>078912000</v>
      </c>
      <c r="C1643" t="s">
        <v>5733</v>
      </c>
      <c r="D1643">
        <v>89828</v>
      </c>
      <c r="E1643" t="str">
        <f>"078912103"</f>
        <v>078912103</v>
      </c>
      <c r="F1643" t="s">
        <v>5745</v>
      </c>
      <c r="G1643" t="s">
        <v>42</v>
      </c>
      <c r="H1643" t="s">
        <v>293</v>
      </c>
      <c r="I1643" t="s">
        <v>5740</v>
      </c>
      <c r="J1643" t="s">
        <v>5746</v>
      </c>
      <c r="K1643" t="str">
        <f>"6234557405"</f>
        <v>6234557405</v>
      </c>
      <c r="L1643" t="str">
        <f>""</f>
        <v/>
      </c>
      <c r="M1643" t="str">
        <f>"6239754380"</f>
        <v>6239754380</v>
      </c>
      <c r="N1643" t="str">
        <f>""</f>
        <v/>
      </c>
      <c r="O1643" t="s">
        <v>5742</v>
      </c>
      <c r="P1643" t="s">
        <v>5747</v>
      </c>
      <c r="R1643" t="s">
        <v>1806</v>
      </c>
      <c r="S1643" t="s">
        <v>36</v>
      </c>
      <c r="T1643" t="str">
        <f>"85388"</f>
        <v>85388</v>
      </c>
      <c r="U1643" t="str">
        <f>""</f>
        <v/>
      </c>
      <c r="V1643" t="s">
        <v>5747</v>
      </c>
      <c r="X1643" t="s">
        <v>1806</v>
      </c>
      <c r="Y1643" t="s">
        <v>36</v>
      </c>
      <c r="Z1643" t="str">
        <f>"85388"</f>
        <v>85388</v>
      </c>
      <c r="AA1643" t="str">
        <f>""</f>
        <v/>
      </c>
      <c r="AB1643" t="s">
        <v>86</v>
      </c>
    </row>
    <row r="1644" spans="1:28" x14ac:dyDescent="0.25">
      <c r="A1644">
        <v>5186</v>
      </c>
      <c r="B1644" t="str">
        <f>"078995000"</f>
        <v>078995000</v>
      </c>
      <c r="C1644" t="s">
        <v>5748</v>
      </c>
      <c r="D1644">
        <v>0</v>
      </c>
      <c r="E1644" t="str">
        <f>""</f>
        <v/>
      </c>
      <c r="G1644" t="s">
        <v>29</v>
      </c>
      <c r="H1644" t="s">
        <v>3752</v>
      </c>
      <c r="I1644" t="s">
        <v>5749</v>
      </c>
      <c r="J1644" t="s">
        <v>536</v>
      </c>
      <c r="K1644" t="str">
        <f>"6236946116"</f>
        <v>6236946116</v>
      </c>
      <c r="L1644" t="str">
        <f>""</f>
        <v/>
      </c>
      <c r="M1644" t="str">
        <f>"6232476520"</f>
        <v>6232476520</v>
      </c>
      <c r="N1644" t="str">
        <f>""</f>
        <v/>
      </c>
      <c r="O1644" t="s">
        <v>5750</v>
      </c>
      <c r="P1644" t="s">
        <v>5751</v>
      </c>
      <c r="R1644" t="s">
        <v>964</v>
      </c>
      <c r="S1644" t="s">
        <v>36</v>
      </c>
      <c r="T1644" t="str">
        <f>"85033"</f>
        <v>85033</v>
      </c>
      <c r="U1644" t="str">
        <f>""</f>
        <v/>
      </c>
      <c r="V1644" t="s">
        <v>5751</v>
      </c>
      <c r="X1644" t="s">
        <v>964</v>
      </c>
      <c r="Y1644" t="s">
        <v>36</v>
      </c>
      <c r="Z1644" t="str">
        <f>"85033"</f>
        <v>85033</v>
      </c>
      <c r="AA1644" t="str">
        <f>""</f>
        <v/>
      </c>
      <c r="AB1644" t="s">
        <v>40</v>
      </c>
    </row>
    <row r="1645" spans="1:28" x14ac:dyDescent="0.25">
      <c r="A1645">
        <v>5186</v>
      </c>
      <c r="B1645" t="str">
        <f>"078995000"</f>
        <v>078995000</v>
      </c>
      <c r="C1645" t="s">
        <v>5748</v>
      </c>
      <c r="D1645">
        <v>10801</v>
      </c>
      <c r="E1645" t="str">
        <f>"078995001"</f>
        <v>078995001</v>
      </c>
      <c r="F1645" t="s">
        <v>5752</v>
      </c>
      <c r="G1645" t="s">
        <v>42</v>
      </c>
      <c r="H1645" t="s">
        <v>3752</v>
      </c>
      <c r="I1645" t="s">
        <v>5749</v>
      </c>
      <c r="J1645" t="s">
        <v>536</v>
      </c>
      <c r="K1645" t="str">
        <f>"6236946116"</f>
        <v>6236946116</v>
      </c>
      <c r="L1645" t="str">
        <f>""</f>
        <v/>
      </c>
      <c r="M1645" t="str">
        <f>"6232476520"</f>
        <v>6232476520</v>
      </c>
      <c r="N1645" t="str">
        <f>""</f>
        <v/>
      </c>
      <c r="O1645" t="s">
        <v>5750</v>
      </c>
      <c r="P1645" t="s">
        <v>5751</v>
      </c>
      <c r="R1645" t="s">
        <v>964</v>
      </c>
      <c r="S1645" t="s">
        <v>36</v>
      </c>
      <c r="T1645" t="str">
        <f>"85033"</f>
        <v>85033</v>
      </c>
      <c r="U1645" t="str">
        <f>""</f>
        <v/>
      </c>
      <c r="V1645" t="s">
        <v>5751</v>
      </c>
      <c r="X1645" t="s">
        <v>964</v>
      </c>
      <c r="Y1645" t="s">
        <v>36</v>
      </c>
      <c r="Z1645" t="str">
        <f>"85033"</f>
        <v>85033</v>
      </c>
      <c r="AA1645" t="str">
        <f>""</f>
        <v/>
      </c>
      <c r="AB1645" t="s">
        <v>40</v>
      </c>
    </row>
    <row r="1646" spans="1:28" x14ac:dyDescent="0.25">
      <c r="A1646">
        <v>5186</v>
      </c>
      <c r="B1646" t="str">
        <f>"078995000"</f>
        <v>078995000</v>
      </c>
      <c r="C1646" t="s">
        <v>5748</v>
      </c>
      <c r="D1646">
        <v>92637</v>
      </c>
      <c r="E1646" t="str">
        <f>"078995002"</f>
        <v>078995002</v>
      </c>
      <c r="F1646" t="s">
        <v>5753</v>
      </c>
      <c r="G1646" t="s">
        <v>42</v>
      </c>
      <c r="H1646" t="s">
        <v>3752</v>
      </c>
      <c r="I1646" t="s">
        <v>5749</v>
      </c>
      <c r="J1646" t="s">
        <v>536</v>
      </c>
      <c r="K1646" t="str">
        <f>"6236946116"</f>
        <v>6236946116</v>
      </c>
      <c r="L1646" t="str">
        <f>""</f>
        <v/>
      </c>
      <c r="M1646" t="str">
        <f>"6232476520"</f>
        <v>6232476520</v>
      </c>
      <c r="N1646" t="str">
        <f>""</f>
        <v/>
      </c>
      <c r="O1646" t="s">
        <v>5754</v>
      </c>
      <c r="P1646" t="s">
        <v>5755</v>
      </c>
      <c r="R1646" t="s">
        <v>5756</v>
      </c>
      <c r="S1646" t="s">
        <v>36</v>
      </c>
      <c r="T1646" t="str">
        <f>"85305"</f>
        <v>85305</v>
      </c>
      <c r="U1646" t="str">
        <f>""</f>
        <v/>
      </c>
      <c r="V1646" t="s">
        <v>5755</v>
      </c>
      <c r="X1646" t="s">
        <v>5756</v>
      </c>
      <c r="Y1646" t="s">
        <v>36</v>
      </c>
      <c r="Z1646" t="str">
        <f>"85305"</f>
        <v>85305</v>
      </c>
      <c r="AA1646" t="str">
        <f>""</f>
        <v/>
      </c>
      <c r="AB1646" t="s">
        <v>40</v>
      </c>
    </row>
    <row r="1647" spans="1:28" x14ac:dyDescent="0.25">
      <c r="A1647">
        <v>6235</v>
      </c>
      <c r="B1647" t="str">
        <f>"078907000"</f>
        <v>078907000</v>
      </c>
      <c r="C1647" t="s">
        <v>5757</v>
      </c>
      <c r="D1647">
        <v>0</v>
      </c>
      <c r="E1647" t="str">
        <f>""</f>
        <v/>
      </c>
      <c r="G1647" t="s">
        <v>29</v>
      </c>
      <c r="H1647" t="s">
        <v>5758</v>
      </c>
      <c r="I1647" t="s">
        <v>2570</v>
      </c>
      <c r="J1647" t="s">
        <v>3831</v>
      </c>
      <c r="K1647" t="str">
        <f>"4802985302"</f>
        <v>4802985302</v>
      </c>
      <c r="L1647" t="str">
        <f>""</f>
        <v/>
      </c>
      <c r="M1647" t="str">
        <f>""</f>
        <v/>
      </c>
      <c r="N1647" t="str">
        <f>""</f>
        <v/>
      </c>
      <c r="O1647" t="s">
        <v>5759</v>
      </c>
      <c r="P1647" t="s">
        <v>5760</v>
      </c>
      <c r="R1647" t="s">
        <v>5761</v>
      </c>
      <c r="S1647" t="s">
        <v>36</v>
      </c>
      <c r="T1647" t="str">
        <f>"85353"</f>
        <v>85353</v>
      </c>
      <c r="U1647" t="str">
        <f>""</f>
        <v/>
      </c>
      <c r="V1647" t="s">
        <v>5760</v>
      </c>
      <c r="X1647" t="s">
        <v>5761</v>
      </c>
      <c r="Y1647" t="s">
        <v>36</v>
      </c>
      <c r="Z1647" t="str">
        <f>"85353"</f>
        <v>85353</v>
      </c>
      <c r="AA1647" t="str">
        <f>""</f>
        <v/>
      </c>
      <c r="AB1647" t="s">
        <v>821</v>
      </c>
    </row>
    <row r="1648" spans="1:28" x14ac:dyDescent="0.25">
      <c r="A1648">
        <v>6235</v>
      </c>
      <c r="B1648" t="str">
        <f>"078907000"</f>
        <v>078907000</v>
      </c>
      <c r="C1648" t="s">
        <v>5757</v>
      </c>
      <c r="D1648">
        <v>87413</v>
      </c>
      <c r="E1648" t="str">
        <f>"078907103"</f>
        <v>078907103</v>
      </c>
      <c r="F1648" t="s">
        <v>5762</v>
      </c>
      <c r="G1648" t="s">
        <v>42</v>
      </c>
      <c r="H1648" t="s">
        <v>5763</v>
      </c>
      <c r="I1648" t="s">
        <v>5764</v>
      </c>
      <c r="J1648" t="s">
        <v>5765</v>
      </c>
      <c r="K1648" t="str">
        <f>"4802985302"</f>
        <v>4802985302</v>
      </c>
      <c r="L1648" t="str">
        <f>""</f>
        <v/>
      </c>
      <c r="M1648" t="str">
        <f>""</f>
        <v/>
      </c>
      <c r="N1648" t="str">
        <f>""</f>
        <v/>
      </c>
      <c r="O1648" t="s">
        <v>5759</v>
      </c>
      <c r="P1648" t="s">
        <v>5766</v>
      </c>
      <c r="R1648" t="s">
        <v>5761</v>
      </c>
      <c r="S1648" t="s">
        <v>36</v>
      </c>
      <c r="T1648" t="str">
        <f>"85353"</f>
        <v>85353</v>
      </c>
      <c r="U1648" t="str">
        <f>""</f>
        <v/>
      </c>
      <c r="V1648" t="s">
        <v>5766</v>
      </c>
      <c r="X1648" t="s">
        <v>5761</v>
      </c>
      <c r="Y1648" t="s">
        <v>36</v>
      </c>
      <c r="Z1648" t="str">
        <f>"85353"</f>
        <v>85353</v>
      </c>
      <c r="AA1648" t="str">
        <f>""</f>
        <v/>
      </c>
      <c r="AB1648" t="s">
        <v>821</v>
      </c>
    </row>
    <row r="1649" spans="1:28" x14ac:dyDescent="0.25">
      <c r="A1649">
        <v>6258</v>
      </c>
      <c r="B1649" t="str">
        <f>"048701000"</f>
        <v>048701000</v>
      </c>
      <c r="C1649" t="s">
        <v>5767</v>
      </c>
      <c r="D1649">
        <v>0</v>
      </c>
      <c r="E1649" t="str">
        <f>""</f>
        <v/>
      </c>
      <c r="G1649" t="s">
        <v>29</v>
      </c>
      <c r="H1649" t="s">
        <v>1394</v>
      </c>
      <c r="I1649" t="s">
        <v>5768</v>
      </c>
      <c r="J1649" t="s">
        <v>134</v>
      </c>
      <c r="K1649" t="str">
        <f>"9284257792"</f>
        <v>9284257792</v>
      </c>
      <c r="L1649" t="str">
        <f>""</f>
        <v/>
      </c>
      <c r="M1649" t="str">
        <f>"9284250459"</f>
        <v>9284250459</v>
      </c>
      <c r="N1649" t="str">
        <f>""</f>
        <v/>
      </c>
      <c r="O1649" t="s">
        <v>5769</v>
      </c>
      <c r="P1649" t="s">
        <v>5770</v>
      </c>
      <c r="R1649" t="s">
        <v>697</v>
      </c>
      <c r="S1649" t="s">
        <v>36</v>
      </c>
      <c r="T1649" t="str">
        <f>"85501"</f>
        <v>85501</v>
      </c>
      <c r="U1649" t="str">
        <f>""</f>
        <v/>
      </c>
      <c r="V1649" t="s">
        <v>5770</v>
      </c>
      <c r="X1649" t="s">
        <v>697</v>
      </c>
      <c r="Y1649" t="s">
        <v>36</v>
      </c>
      <c r="Z1649" t="str">
        <f>"85501"</f>
        <v>85501</v>
      </c>
      <c r="AA1649" t="str">
        <f>""</f>
        <v/>
      </c>
      <c r="AB1649" t="s">
        <v>249</v>
      </c>
    </row>
    <row r="1650" spans="1:28" x14ac:dyDescent="0.25">
      <c r="A1650">
        <v>6258</v>
      </c>
      <c r="B1650" t="str">
        <f>"048701000"</f>
        <v>048701000</v>
      </c>
      <c r="C1650" t="s">
        <v>5767</v>
      </c>
      <c r="D1650">
        <v>10807</v>
      </c>
      <c r="E1650" t="str">
        <f>"048701001"</f>
        <v>048701001</v>
      </c>
      <c r="F1650" t="s">
        <v>5771</v>
      </c>
      <c r="G1650" t="s">
        <v>42</v>
      </c>
      <c r="H1650" t="s">
        <v>1394</v>
      </c>
      <c r="I1650" t="s">
        <v>5768</v>
      </c>
      <c r="J1650" t="s">
        <v>134</v>
      </c>
      <c r="K1650" t="str">
        <f>"9284257792"</f>
        <v>9284257792</v>
      </c>
      <c r="L1650" t="str">
        <f>""</f>
        <v/>
      </c>
      <c r="M1650" t="str">
        <f>"9284250927"</f>
        <v>9284250927</v>
      </c>
      <c r="N1650" t="str">
        <f>""</f>
        <v/>
      </c>
      <c r="O1650" t="s">
        <v>5769</v>
      </c>
      <c r="P1650" t="s">
        <v>5770</v>
      </c>
      <c r="R1650" t="s">
        <v>697</v>
      </c>
      <c r="S1650" t="s">
        <v>36</v>
      </c>
      <c r="T1650" t="str">
        <f>"85501"</f>
        <v>85501</v>
      </c>
      <c r="U1650" t="str">
        <f>""</f>
        <v/>
      </c>
      <c r="V1650" t="s">
        <v>5770</v>
      </c>
      <c r="X1650" t="s">
        <v>697</v>
      </c>
      <c r="Y1650" t="s">
        <v>36</v>
      </c>
      <c r="Z1650" t="str">
        <f>"85501"</f>
        <v>85501</v>
      </c>
      <c r="AA1650" t="str">
        <f>""</f>
        <v/>
      </c>
      <c r="AB1650" t="s">
        <v>249</v>
      </c>
    </row>
    <row r="1651" spans="1:28" x14ac:dyDescent="0.25">
      <c r="A1651">
        <v>6355</v>
      </c>
      <c r="B1651" t="str">
        <f>"108722000"</f>
        <v>108722000</v>
      </c>
      <c r="C1651" t="s">
        <v>5772</v>
      </c>
      <c r="D1651">
        <v>0</v>
      </c>
      <c r="E1651" t="str">
        <f>""</f>
        <v/>
      </c>
      <c r="G1651" t="s">
        <v>29</v>
      </c>
      <c r="H1651" t="s">
        <v>2141</v>
      </c>
      <c r="I1651" t="s">
        <v>5773</v>
      </c>
      <c r="J1651" t="s">
        <v>307</v>
      </c>
      <c r="K1651" t="str">
        <f>"6025320100"</f>
        <v>6025320100</v>
      </c>
      <c r="L1651" t="str">
        <f>""</f>
        <v/>
      </c>
      <c r="M1651" t="str">
        <f>"6025329964"</f>
        <v>6025329964</v>
      </c>
      <c r="N1651" t="str">
        <f>""</f>
        <v/>
      </c>
      <c r="O1651" t="s">
        <v>5774</v>
      </c>
      <c r="P1651" t="s">
        <v>5775</v>
      </c>
      <c r="R1651" t="s">
        <v>964</v>
      </c>
      <c r="S1651" t="s">
        <v>36</v>
      </c>
      <c r="T1651" t="str">
        <f>"85013"</f>
        <v>85013</v>
      </c>
      <c r="U1651" t="str">
        <f>""</f>
        <v/>
      </c>
      <c r="V1651" t="s">
        <v>5775</v>
      </c>
      <c r="X1651" t="s">
        <v>964</v>
      </c>
      <c r="Y1651" t="s">
        <v>36</v>
      </c>
      <c r="Z1651" t="str">
        <f>"85013"</f>
        <v>85013</v>
      </c>
      <c r="AA1651" t="str">
        <f>""</f>
        <v/>
      </c>
      <c r="AB1651" t="s">
        <v>2306</v>
      </c>
    </row>
    <row r="1652" spans="1:28" x14ac:dyDescent="0.25">
      <c r="A1652">
        <v>6355</v>
      </c>
      <c r="B1652" t="str">
        <f>"108722000"</f>
        <v>108722000</v>
      </c>
      <c r="C1652" t="s">
        <v>5772</v>
      </c>
      <c r="D1652">
        <v>6063</v>
      </c>
      <c r="E1652" t="str">
        <f>"108722001"</f>
        <v>108722001</v>
      </c>
      <c r="F1652" t="s">
        <v>5776</v>
      </c>
      <c r="G1652" t="s">
        <v>42</v>
      </c>
      <c r="H1652" t="s">
        <v>2141</v>
      </c>
      <c r="I1652" t="s">
        <v>5773</v>
      </c>
      <c r="J1652" t="s">
        <v>5777</v>
      </c>
      <c r="K1652" t="str">
        <f>"6025320100"</f>
        <v>6025320100</v>
      </c>
      <c r="L1652" t="str">
        <f>""</f>
        <v/>
      </c>
      <c r="M1652" t="str">
        <f>"6025329964"</f>
        <v>6025329964</v>
      </c>
      <c r="N1652" t="str">
        <f>""</f>
        <v/>
      </c>
      <c r="O1652" t="s">
        <v>5774</v>
      </c>
      <c r="P1652" t="s">
        <v>5775</v>
      </c>
      <c r="R1652" t="s">
        <v>964</v>
      </c>
      <c r="S1652" t="s">
        <v>36</v>
      </c>
      <c r="T1652" t="str">
        <f>"85013"</f>
        <v>85013</v>
      </c>
      <c r="U1652" t="str">
        <f>""</f>
        <v/>
      </c>
      <c r="V1652" t="s">
        <v>5775</v>
      </c>
      <c r="X1652" t="s">
        <v>964</v>
      </c>
      <c r="Y1652" t="s">
        <v>36</v>
      </c>
      <c r="Z1652" t="str">
        <f>"85013"</f>
        <v>85013</v>
      </c>
      <c r="AA1652" t="str">
        <f>""</f>
        <v/>
      </c>
      <c r="AB1652" t="s">
        <v>2306</v>
      </c>
    </row>
    <row r="1653" spans="1:28" x14ac:dyDescent="0.25">
      <c r="A1653">
        <v>6355</v>
      </c>
      <c r="B1653" t="str">
        <f>"108722000"</f>
        <v>108722000</v>
      </c>
      <c r="C1653" t="s">
        <v>5772</v>
      </c>
      <c r="D1653">
        <v>79296</v>
      </c>
      <c r="E1653" t="str">
        <f>"108722005"</f>
        <v>108722005</v>
      </c>
      <c r="F1653" t="s">
        <v>5778</v>
      </c>
      <c r="G1653" t="s">
        <v>42</v>
      </c>
      <c r="H1653" t="s">
        <v>4813</v>
      </c>
      <c r="I1653" t="s">
        <v>5779</v>
      </c>
      <c r="J1653" t="s">
        <v>5780</v>
      </c>
      <c r="K1653" t="str">
        <f>"5202961100"</f>
        <v>5202961100</v>
      </c>
      <c r="L1653" t="str">
        <f>""</f>
        <v/>
      </c>
      <c r="M1653" t="str">
        <f>"5202961446"</f>
        <v>5202961446</v>
      </c>
      <c r="N1653" t="str">
        <f>""</f>
        <v/>
      </c>
      <c r="O1653" t="s">
        <v>5781</v>
      </c>
      <c r="P1653" t="s">
        <v>5782</v>
      </c>
      <c r="R1653" t="s">
        <v>4169</v>
      </c>
      <c r="S1653" t="s">
        <v>36</v>
      </c>
      <c r="T1653" t="str">
        <f>"85716"</f>
        <v>85716</v>
      </c>
      <c r="U1653" t="str">
        <f>""</f>
        <v/>
      </c>
      <c r="V1653" t="s">
        <v>5782</v>
      </c>
      <c r="X1653" t="s">
        <v>4169</v>
      </c>
      <c r="Y1653" t="s">
        <v>36</v>
      </c>
      <c r="Z1653" t="str">
        <f>"85716"</f>
        <v>85716</v>
      </c>
      <c r="AA1653" t="str">
        <f>""</f>
        <v/>
      </c>
      <c r="AB1653" t="s">
        <v>2306</v>
      </c>
    </row>
    <row r="1654" spans="1:28" x14ac:dyDescent="0.25">
      <c r="A1654">
        <v>6357</v>
      </c>
      <c r="B1654" t="str">
        <f>"058703000"</f>
        <v>058703000</v>
      </c>
      <c r="C1654" t="s">
        <v>5783</v>
      </c>
      <c r="D1654">
        <v>0</v>
      </c>
      <c r="E1654" t="str">
        <f>""</f>
        <v/>
      </c>
      <c r="G1654" t="s">
        <v>29</v>
      </c>
      <c r="H1654" t="s">
        <v>5784</v>
      </c>
      <c r="I1654" t="s">
        <v>771</v>
      </c>
      <c r="J1654" t="s">
        <v>520</v>
      </c>
      <c r="K1654" t="str">
        <f>"9284852498"</f>
        <v>9284852498</v>
      </c>
      <c r="L1654" t="str">
        <f>""</f>
        <v/>
      </c>
      <c r="M1654" t="str">
        <f>""</f>
        <v/>
      </c>
      <c r="N1654" t="str">
        <f>""</f>
        <v/>
      </c>
      <c r="O1654" t="s">
        <v>5785</v>
      </c>
      <c r="P1654" t="s">
        <v>5786</v>
      </c>
      <c r="R1654" t="s">
        <v>5787</v>
      </c>
      <c r="S1654" t="s">
        <v>36</v>
      </c>
      <c r="T1654" t="str">
        <f>"85543"</f>
        <v>85543</v>
      </c>
      <c r="U1654" t="str">
        <f>""</f>
        <v/>
      </c>
      <c r="V1654" t="s">
        <v>5788</v>
      </c>
      <c r="X1654" t="s">
        <v>5787</v>
      </c>
      <c r="Y1654" t="s">
        <v>36</v>
      </c>
      <c r="Z1654" t="str">
        <f>"85543"</f>
        <v>85543</v>
      </c>
      <c r="AA1654" t="str">
        <f>""</f>
        <v/>
      </c>
      <c r="AB1654" t="s">
        <v>217</v>
      </c>
    </row>
    <row r="1655" spans="1:28" x14ac:dyDescent="0.25">
      <c r="A1655">
        <v>6357</v>
      </c>
      <c r="B1655" t="str">
        <f>"058703000"</f>
        <v>058703000</v>
      </c>
      <c r="C1655" t="s">
        <v>5783</v>
      </c>
      <c r="D1655">
        <v>4898</v>
      </c>
      <c r="E1655" t="str">
        <f>"058703001"</f>
        <v>058703001</v>
      </c>
      <c r="F1655" t="s">
        <v>5783</v>
      </c>
      <c r="G1655" t="s">
        <v>42</v>
      </c>
      <c r="H1655" t="s">
        <v>5784</v>
      </c>
      <c r="I1655" t="s">
        <v>771</v>
      </c>
      <c r="J1655" t="s">
        <v>315</v>
      </c>
      <c r="K1655" t="str">
        <f>"9284852498"</f>
        <v>9284852498</v>
      </c>
      <c r="L1655" t="str">
        <f>""</f>
        <v/>
      </c>
      <c r="M1655" t="str">
        <f>"9284852508"</f>
        <v>9284852508</v>
      </c>
      <c r="N1655" t="str">
        <f>""</f>
        <v/>
      </c>
      <c r="O1655" t="s">
        <v>5785</v>
      </c>
      <c r="P1655" t="s">
        <v>5789</v>
      </c>
      <c r="Q1655" t="s">
        <v>5788</v>
      </c>
      <c r="R1655" t="s">
        <v>879</v>
      </c>
      <c r="S1655" t="s">
        <v>36</v>
      </c>
      <c r="T1655" t="str">
        <f>"85543"</f>
        <v>85543</v>
      </c>
      <c r="U1655" t="str">
        <f>""</f>
        <v/>
      </c>
      <c r="V1655" t="s">
        <v>5789</v>
      </c>
      <c r="W1655" t="s">
        <v>5788</v>
      </c>
      <c r="X1655" t="s">
        <v>879</v>
      </c>
      <c r="Y1655" t="s">
        <v>36</v>
      </c>
      <c r="Z1655" t="str">
        <f>"85543"</f>
        <v>85543</v>
      </c>
      <c r="AA1655" t="str">
        <f>""</f>
        <v/>
      </c>
      <c r="AB1655" t="s">
        <v>217</v>
      </c>
    </row>
    <row r="1656" spans="1:28" x14ac:dyDescent="0.25">
      <c r="A1656">
        <v>6362</v>
      </c>
      <c r="B1656" t="str">
        <f>"078772000"</f>
        <v>078772000</v>
      </c>
      <c r="C1656" t="s">
        <v>5790</v>
      </c>
      <c r="D1656">
        <v>0</v>
      </c>
      <c r="E1656" t="str">
        <f>""</f>
        <v/>
      </c>
      <c r="G1656" t="s">
        <v>29</v>
      </c>
      <c r="H1656" t="s">
        <v>5791</v>
      </c>
      <c r="I1656" t="s">
        <v>5792</v>
      </c>
      <c r="J1656" t="s">
        <v>195</v>
      </c>
      <c r="K1656" t="str">
        <f>"6029385411"</f>
        <v>6029385411</v>
      </c>
      <c r="L1656" t="str">
        <f>""</f>
        <v/>
      </c>
      <c r="M1656" t="str">
        <f>"6029385393"</f>
        <v>6029385393</v>
      </c>
      <c r="N1656" t="str">
        <f>""</f>
        <v/>
      </c>
      <c r="O1656" t="s">
        <v>5793</v>
      </c>
      <c r="P1656" t="s">
        <v>5794</v>
      </c>
      <c r="R1656" t="s">
        <v>1173</v>
      </c>
      <c r="S1656" t="s">
        <v>36</v>
      </c>
      <c r="T1656" t="str">
        <f>"85308"</f>
        <v>85308</v>
      </c>
      <c r="U1656" t="str">
        <f>"3847"</f>
        <v>3847</v>
      </c>
      <c r="V1656" t="s">
        <v>5794</v>
      </c>
      <c r="X1656" t="s">
        <v>1173</v>
      </c>
      <c r="Y1656" t="s">
        <v>36</v>
      </c>
      <c r="Z1656" t="str">
        <f>"85308"</f>
        <v>85308</v>
      </c>
      <c r="AA1656" t="str">
        <f>"3847"</f>
        <v>3847</v>
      </c>
      <c r="AB1656" t="s">
        <v>821</v>
      </c>
    </row>
    <row r="1657" spans="1:28" x14ac:dyDescent="0.25">
      <c r="A1657">
        <v>6362</v>
      </c>
      <c r="B1657" t="str">
        <f>"078772000"</f>
        <v>078772000</v>
      </c>
      <c r="C1657" t="s">
        <v>5790</v>
      </c>
      <c r="D1657">
        <v>5555</v>
      </c>
      <c r="E1657" t="str">
        <f>"078772001"</f>
        <v>078772001</v>
      </c>
      <c r="F1657" t="s">
        <v>5795</v>
      </c>
      <c r="G1657" t="s">
        <v>42</v>
      </c>
      <c r="H1657" t="s">
        <v>5796</v>
      </c>
      <c r="I1657" t="s">
        <v>5797</v>
      </c>
      <c r="J1657" t="s">
        <v>195</v>
      </c>
      <c r="K1657" t="str">
        <f>"6029385411"</f>
        <v>6029385411</v>
      </c>
      <c r="L1657" t="str">
        <f>"109"</f>
        <v>109</v>
      </c>
      <c r="M1657" t="str">
        <f>"6029385393"</f>
        <v>6029385393</v>
      </c>
      <c r="N1657" t="str">
        <f>""</f>
        <v/>
      </c>
      <c r="O1657" t="s">
        <v>5798</v>
      </c>
      <c r="P1657" t="s">
        <v>5794</v>
      </c>
      <c r="R1657" t="s">
        <v>1173</v>
      </c>
      <c r="S1657" t="s">
        <v>36</v>
      </c>
      <c r="T1657" t="str">
        <f>"85308"</f>
        <v>85308</v>
      </c>
      <c r="U1657" t="str">
        <f>"3847"</f>
        <v>3847</v>
      </c>
      <c r="V1657" t="s">
        <v>5794</v>
      </c>
      <c r="X1657" t="s">
        <v>1173</v>
      </c>
      <c r="Y1657" t="s">
        <v>36</v>
      </c>
      <c r="Z1657" t="str">
        <f>"85308"</f>
        <v>85308</v>
      </c>
      <c r="AA1657" t="str">
        <f>"3847"</f>
        <v>3847</v>
      </c>
      <c r="AB1657" t="s">
        <v>821</v>
      </c>
    </row>
    <row r="1658" spans="1:28" x14ac:dyDescent="0.25">
      <c r="A1658">
        <v>6369</v>
      </c>
      <c r="B1658" t="str">
        <f>"108726000"</f>
        <v>108726000</v>
      </c>
      <c r="C1658" t="s">
        <v>5799</v>
      </c>
      <c r="D1658">
        <v>0</v>
      </c>
      <c r="E1658" t="str">
        <f>""</f>
        <v/>
      </c>
      <c r="G1658" t="s">
        <v>29</v>
      </c>
      <c r="H1658" t="s">
        <v>5800</v>
      </c>
      <c r="I1658" t="s">
        <v>5801</v>
      </c>
      <c r="J1658" t="s">
        <v>5802</v>
      </c>
      <c r="K1658" t="str">
        <f>"5208828826"</f>
        <v>5208828826</v>
      </c>
      <c r="L1658" t="str">
        <f>"224"</f>
        <v>224</v>
      </c>
      <c r="M1658" t="str">
        <f>"5208828651"</f>
        <v>5208828651</v>
      </c>
      <c r="N1658" t="str">
        <f>""</f>
        <v/>
      </c>
      <c r="O1658" t="s">
        <v>5803</v>
      </c>
      <c r="P1658" t="s">
        <v>5804</v>
      </c>
      <c r="R1658" t="s">
        <v>4169</v>
      </c>
      <c r="S1658" t="s">
        <v>36</v>
      </c>
      <c r="T1658" t="str">
        <f>"85719"</f>
        <v>85719</v>
      </c>
      <c r="U1658" t="str">
        <f>"5808"</f>
        <v>5808</v>
      </c>
      <c r="V1658" t="s">
        <v>5804</v>
      </c>
      <c r="X1658" t="s">
        <v>4169</v>
      </c>
      <c r="Y1658" t="s">
        <v>36</v>
      </c>
      <c r="Z1658" t="str">
        <f>"85719"</f>
        <v>85719</v>
      </c>
      <c r="AA1658" t="str">
        <f>"5808"</f>
        <v>5808</v>
      </c>
      <c r="AB1658" t="s">
        <v>124</v>
      </c>
    </row>
    <row r="1659" spans="1:28" x14ac:dyDescent="0.25">
      <c r="A1659">
        <v>6369</v>
      </c>
      <c r="B1659" t="str">
        <f>"108726000"</f>
        <v>108726000</v>
      </c>
      <c r="C1659" t="s">
        <v>5799</v>
      </c>
      <c r="D1659">
        <v>5872</v>
      </c>
      <c r="E1659" t="str">
        <f>"108726001"</f>
        <v>108726001</v>
      </c>
      <c r="F1659" t="s">
        <v>5805</v>
      </c>
      <c r="G1659" t="s">
        <v>42</v>
      </c>
      <c r="H1659" t="s">
        <v>5800</v>
      </c>
      <c r="I1659" t="s">
        <v>5801</v>
      </c>
      <c r="J1659" t="s">
        <v>5806</v>
      </c>
      <c r="K1659" t="str">
        <f>"5208828826"</f>
        <v>5208828826</v>
      </c>
      <c r="L1659" t="str">
        <f>"224"</f>
        <v>224</v>
      </c>
      <c r="M1659" t="str">
        <f>"5208828651"</f>
        <v>5208828651</v>
      </c>
      <c r="N1659" t="str">
        <f>""</f>
        <v/>
      </c>
      <c r="O1659" t="s">
        <v>5803</v>
      </c>
      <c r="P1659" t="s">
        <v>5807</v>
      </c>
      <c r="R1659" t="s">
        <v>4169</v>
      </c>
      <c r="S1659" t="s">
        <v>36</v>
      </c>
      <c r="T1659" t="str">
        <f>"85719"</f>
        <v>85719</v>
      </c>
      <c r="U1659" t="str">
        <f>"5808"</f>
        <v>5808</v>
      </c>
      <c r="V1659" t="s">
        <v>5807</v>
      </c>
      <c r="X1659" t="s">
        <v>4169</v>
      </c>
      <c r="Y1659" t="s">
        <v>36</v>
      </c>
      <c r="Z1659" t="str">
        <f>"85719"</f>
        <v>85719</v>
      </c>
      <c r="AA1659" t="str">
        <f>"5808"</f>
        <v>5808</v>
      </c>
      <c r="AB1659" t="s">
        <v>124</v>
      </c>
    </row>
    <row r="1660" spans="1:28" x14ac:dyDescent="0.25">
      <c r="A1660">
        <v>6378</v>
      </c>
      <c r="B1660" t="str">
        <f>"078665000"</f>
        <v>078665000</v>
      </c>
      <c r="C1660" t="s">
        <v>5808</v>
      </c>
      <c r="D1660">
        <v>0</v>
      </c>
      <c r="E1660" t="str">
        <f>""</f>
        <v/>
      </c>
      <c r="G1660" t="s">
        <v>29</v>
      </c>
      <c r="H1660" t="s">
        <v>1561</v>
      </c>
      <c r="I1660" t="s">
        <v>2896</v>
      </c>
      <c r="J1660" t="s">
        <v>5777</v>
      </c>
      <c r="K1660" t="str">
        <f>"6022229278"</f>
        <v>6022229278</v>
      </c>
      <c r="L1660" t="str">
        <f>""</f>
        <v/>
      </c>
      <c r="M1660" t="str">
        <f>""</f>
        <v/>
      </c>
      <c r="N1660" t="str">
        <f>""</f>
        <v/>
      </c>
      <c r="O1660" t="s">
        <v>5809</v>
      </c>
      <c r="P1660" t="s">
        <v>5810</v>
      </c>
      <c r="R1660" t="s">
        <v>964</v>
      </c>
      <c r="S1660" t="s">
        <v>36</v>
      </c>
      <c r="T1660" t="str">
        <f>"85014"</f>
        <v>85014</v>
      </c>
      <c r="U1660" t="str">
        <f>""</f>
        <v/>
      </c>
      <c r="V1660" t="s">
        <v>5810</v>
      </c>
      <c r="X1660" t="s">
        <v>964</v>
      </c>
      <c r="Y1660" t="s">
        <v>36</v>
      </c>
      <c r="Z1660" t="str">
        <f>"85014"</f>
        <v>85014</v>
      </c>
      <c r="AA1660" t="str">
        <f>""</f>
        <v/>
      </c>
      <c r="AB1660" t="s">
        <v>282</v>
      </c>
    </row>
    <row r="1661" spans="1:28" x14ac:dyDescent="0.25">
      <c r="A1661">
        <v>6378</v>
      </c>
      <c r="B1661" t="str">
        <f>"078665000"</f>
        <v>078665000</v>
      </c>
      <c r="C1661" t="s">
        <v>5808</v>
      </c>
      <c r="D1661">
        <v>10755</v>
      </c>
      <c r="E1661" t="str">
        <f>"078665001"</f>
        <v>078665001</v>
      </c>
      <c r="F1661" t="s">
        <v>5811</v>
      </c>
      <c r="G1661" t="s">
        <v>42</v>
      </c>
      <c r="H1661" t="s">
        <v>1561</v>
      </c>
      <c r="I1661" t="s">
        <v>2896</v>
      </c>
      <c r="J1661" t="s">
        <v>5777</v>
      </c>
      <c r="K1661" t="str">
        <f>"6022229278"</f>
        <v>6022229278</v>
      </c>
      <c r="L1661" t="str">
        <f>"0"</f>
        <v>0</v>
      </c>
      <c r="M1661" t="str">
        <f>"6028013871"</f>
        <v>6028013871</v>
      </c>
      <c r="N1661" t="str">
        <f>""</f>
        <v/>
      </c>
      <c r="O1661" t="s">
        <v>5809</v>
      </c>
      <c r="P1661" t="s">
        <v>5810</v>
      </c>
      <c r="R1661" t="s">
        <v>964</v>
      </c>
      <c r="S1661" t="s">
        <v>36</v>
      </c>
      <c r="T1661" t="str">
        <f>"85014"</f>
        <v>85014</v>
      </c>
      <c r="U1661" t="str">
        <f>""</f>
        <v/>
      </c>
      <c r="V1661" t="s">
        <v>5810</v>
      </c>
      <c r="X1661" t="s">
        <v>964</v>
      </c>
      <c r="Y1661" t="s">
        <v>36</v>
      </c>
      <c r="Z1661" t="str">
        <f>"85014"</f>
        <v>85014</v>
      </c>
      <c r="AA1661" t="str">
        <f>""</f>
        <v/>
      </c>
      <c r="AB1661" t="s">
        <v>282</v>
      </c>
    </row>
    <row r="1662" spans="1:28" x14ac:dyDescent="0.25">
      <c r="A1662">
        <v>6393</v>
      </c>
      <c r="B1662" t="str">
        <f>"001202000"</f>
        <v>001202000</v>
      </c>
      <c r="C1662" t="s">
        <v>5812</v>
      </c>
      <c r="D1662">
        <v>0</v>
      </c>
      <c r="E1662" t="str">
        <f>""</f>
        <v/>
      </c>
      <c r="G1662" t="s">
        <v>29</v>
      </c>
      <c r="H1662" t="s">
        <v>794</v>
      </c>
      <c r="I1662" t="s">
        <v>5813</v>
      </c>
      <c r="J1662" t="s">
        <v>5814</v>
      </c>
      <c r="K1662" t="str">
        <f>"4804590236"</f>
        <v>4804590236</v>
      </c>
      <c r="L1662" t="str">
        <f>""</f>
        <v/>
      </c>
      <c r="M1662" t="str">
        <f>"6027715364"</f>
        <v>6027715364</v>
      </c>
      <c r="N1662" t="str">
        <f>""</f>
        <v/>
      </c>
      <c r="O1662" t="s">
        <v>5815</v>
      </c>
      <c r="P1662" t="s">
        <v>5816</v>
      </c>
      <c r="R1662" t="s">
        <v>4169</v>
      </c>
      <c r="S1662" t="s">
        <v>36</v>
      </c>
      <c r="T1662" t="str">
        <f>"85754"</f>
        <v>85754</v>
      </c>
      <c r="U1662" t="str">
        <f>""</f>
        <v/>
      </c>
      <c r="V1662" t="s">
        <v>5817</v>
      </c>
      <c r="X1662" t="s">
        <v>4169</v>
      </c>
      <c r="Y1662" t="s">
        <v>36</v>
      </c>
      <c r="Z1662" t="str">
        <f>"85745"</f>
        <v>85745</v>
      </c>
      <c r="AA1662" t="str">
        <f>""</f>
        <v/>
      </c>
      <c r="AB1662" t="s">
        <v>249</v>
      </c>
    </row>
    <row r="1663" spans="1:28" x14ac:dyDescent="0.25">
      <c r="A1663">
        <v>6393</v>
      </c>
      <c r="B1663" t="str">
        <f>"001202000"</f>
        <v>001202000</v>
      </c>
      <c r="C1663" t="s">
        <v>5812</v>
      </c>
      <c r="D1663">
        <v>6396</v>
      </c>
      <c r="E1663" t="str">
        <f>"001202041"</f>
        <v>001202041</v>
      </c>
      <c r="F1663" t="s">
        <v>5818</v>
      </c>
      <c r="G1663" t="s">
        <v>42</v>
      </c>
      <c r="H1663" t="s">
        <v>794</v>
      </c>
      <c r="I1663" t="s">
        <v>5813</v>
      </c>
      <c r="J1663" t="s">
        <v>5819</v>
      </c>
      <c r="K1663" t="str">
        <f>"6027714329"</f>
        <v>6027714329</v>
      </c>
      <c r="L1663" t="str">
        <f>""</f>
        <v/>
      </c>
      <c r="M1663" t="str">
        <f>"6027715364"</f>
        <v>6027715364</v>
      </c>
      <c r="N1663" t="str">
        <f>""</f>
        <v/>
      </c>
      <c r="O1663" t="s">
        <v>5815</v>
      </c>
      <c r="P1663" t="s">
        <v>5820</v>
      </c>
      <c r="R1663" t="s">
        <v>964</v>
      </c>
      <c r="S1663" t="s">
        <v>36</v>
      </c>
      <c r="T1663" t="str">
        <f>"85021"</f>
        <v>85021</v>
      </c>
      <c r="U1663" t="str">
        <f>""</f>
        <v/>
      </c>
      <c r="V1663" t="s">
        <v>5820</v>
      </c>
      <c r="X1663" t="s">
        <v>964</v>
      </c>
      <c r="Y1663" t="s">
        <v>36</v>
      </c>
      <c r="Z1663" t="str">
        <f>"85021"</f>
        <v>85021</v>
      </c>
      <c r="AA1663" t="str">
        <f>""</f>
        <v/>
      </c>
      <c r="AB1663" t="s">
        <v>249</v>
      </c>
    </row>
    <row r="1664" spans="1:28" x14ac:dyDescent="0.25">
      <c r="A1664">
        <v>6393</v>
      </c>
      <c r="B1664" t="str">
        <f>"001202000"</f>
        <v>001202000</v>
      </c>
      <c r="C1664" t="s">
        <v>5812</v>
      </c>
      <c r="D1664">
        <v>80462</v>
      </c>
      <c r="E1664" t="str">
        <f>"001202058"</f>
        <v>001202058</v>
      </c>
      <c r="F1664" t="s">
        <v>5821</v>
      </c>
      <c r="G1664" t="s">
        <v>42</v>
      </c>
      <c r="H1664" t="s">
        <v>794</v>
      </c>
      <c r="I1664" t="s">
        <v>5813</v>
      </c>
      <c r="J1664" t="s">
        <v>5819</v>
      </c>
      <c r="K1664" t="str">
        <f>"5207703476"</f>
        <v>5207703476</v>
      </c>
      <c r="L1664" t="str">
        <f>""</f>
        <v/>
      </c>
      <c r="M1664" t="str">
        <f>"5207703140"</f>
        <v>5207703140</v>
      </c>
      <c r="N1664" t="str">
        <f>""</f>
        <v/>
      </c>
      <c r="O1664" t="s">
        <v>5815</v>
      </c>
      <c r="P1664" t="s">
        <v>5816</v>
      </c>
      <c r="R1664" t="s">
        <v>4169</v>
      </c>
      <c r="S1664" t="s">
        <v>36</v>
      </c>
      <c r="T1664" t="str">
        <f>"85754"</f>
        <v>85754</v>
      </c>
      <c r="U1664" t="str">
        <f>""</f>
        <v/>
      </c>
      <c r="V1664" t="s">
        <v>5817</v>
      </c>
      <c r="X1664" t="s">
        <v>4169</v>
      </c>
      <c r="Y1664" t="s">
        <v>36</v>
      </c>
      <c r="Z1664" t="str">
        <f>"85745"</f>
        <v>85745</v>
      </c>
      <c r="AA1664" t="str">
        <f>""</f>
        <v/>
      </c>
      <c r="AB1664" t="s">
        <v>249</v>
      </c>
    </row>
    <row r="1665" spans="1:28" x14ac:dyDescent="0.25">
      <c r="A1665">
        <v>6446</v>
      </c>
      <c r="B1665" t="str">
        <f t="shared" ref="B1665:B1683" si="293">"078915000"</f>
        <v>078915000</v>
      </c>
      <c r="C1665" t="s">
        <v>5822</v>
      </c>
      <c r="D1665">
        <v>0</v>
      </c>
      <c r="E1665" t="str">
        <f>""</f>
        <v/>
      </c>
      <c r="G1665" t="s">
        <v>29</v>
      </c>
      <c r="H1665" t="s">
        <v>5823</v>
      </c>
      <c r="I1665" t="s">
        <v>5824</v>
      </c>
      <c r="J1665" t="s">
        <v>1142</v>
      </c>
      <c r="K1665" t="str">
        <f>"4804613200"</f>
        <v>4804613200</v>
      </c>
      <c r="L1665" t="str">
        <f>"10515"</f>
        <v>10515</v>
      </c>
      <c r="M1665" t="str">
        <f>"4808904101"</f>
        <v>4808904101</v>
      </c>
      <c r="N1665" t="str">
        <f>""</f>
        <v/>
      </c>
      <c r="O1665" t="s">
        <v>5825</v>
      </c>
      <c r="P1665" t="s">
        <v>5826</v>
      </c>
      <c r="R1665" t="s">
        <v>979</v>
      </c>
      <c r="S1665" t="s">
        <v>36</v>
      </c>
      <c r="T1665" t="str">
        <f>"85204"</f>
        <v>85204</v>
      </c>
      <c r="U1665" t="str">
        <f>"5760"</f>
        <v>5760</v>
      </c>
      <c r="V1665" t="s">
        <v>5826</v>
      </c>
      <c r="X1665" t="s">
        <v>979</v>
      </c>
      <c r="Y1665" t="s">
        <v>36</v>
      </c>
      <c r="Z1665" t="str">
        <f>"85204"</f>
        <v>85204</v>
      </c>
      <c r="AA1665" t="str">
        <f>"5760"</f>
        <v>5760</v>
      </c>
      <c r="AB1665" t="s">
        <v>2345</v>
      </c>
    </row>
    <row r="1666" spans="1:28" x14ac:dyDescent="0.25">
      <c r="A1666">
        <v>6446</v>
      </c>
      <c r="B1666" t="str">
        <f t="shared" si="293"/>
        <v>078915000</v>
      </c>
      <c r="C1666" t="s">
        <v>5822</v>
      </c>
      <c r="D1666">
        <v>6366</v>
      </c>
      <c r="E1666" t="str">
        <f>"138754001"</f>
        <v>138754001</v>
      </c>
      <c r="F1666" t="s">
        <v>5827</v>
      </c>
      <c r="G1666" t="s">
        <v>42</v>
      </c>
      <c r="H1666" t="s">
        <v>1375</v>
      </c>
      <c r="I1666" t="s">
        <v>5828</v>
      </c>
      <c r="J1666" t="s">
        <v>710</v>
      </c>
      <c r="K1666" t="str">
        <f>"9286342144"</f>
        <v>9286342144</v>
      </c>
      <c r="L1666" t="str">
        <f>""</f>
        <v/>
      </c>
      <c r="M1666" t="str">
        <f>"9286349053"</f>
        <v>9286349053</v>
      </c>
      <c r="N1666" t="str">
        <f>""</f>
        <v/>
      </c>
      <c r="O1666" t="s">
        <v>5829</v>
      </c>
      <c r="P1666" t="s">
        <v>5830</v>
      </c>
      <c r="R1666" t="s">
        <v>5429</v>
      </c>
      <c r="S1666" t="s">
        <v>36</v>
      </c>
      <c r="T1666" t="str">
        <f>"86326"</f>
        <v>86326</v>
      </c>
      <c r="U1666" t="str">
        <f>""</f>
        <v/>
      </c>
      <c r="V1666" t="s">
        <v>5830</v>
      </c>
      <c r="X1666" t="s">
        <v>5429</v>
      </c>
      <c r="Y1666" t="s">
        <v>36</v>
      </c>
      <c r="Z1666" t="str">
        <f>"86326"</f>
        <v>86326</v>
      </c>
      <c r="AA1666" t="str">
        <f>""</f>
        <v/>
      </c>
      <c r="AB1666" t="s">
        <v>2345</v>
      </c>
    </row>
    <row r="1667" spans="1:28" x14ac:dyDescent="0.25">
      <c r="A1667">
        <v>6446</v>
      </c>
      <c r="B1667" t="str">
        <f t="shared" si="293"/>
        <v>078915000</v>
      </c>
      <c r="C1667" t="s">
        <v>5822</v>
      </c>
      <c r="D1667">
        <v>10753</v>
      </c>
      <c r="E1667" t="str">
        <f>"078742001"</f>
        <v>078742001</v>
      </c>
      <c r="F1667" t="s">
        <v>5831</v>
      </c>
      <c r="G1667" t="s">
        <v>42</v>
      </c>
      <c r="H1667" t="s">
        <v>260</v>
      </c>
      <c r="I1667" t="s">
        <v>5832</v>
      </c>
      <c r="J1667" t="s">
        <v>486</v>
      </c>
      <c r="K1667" t="str">
        <f>"4809867071"</f>
        <v>4809867071</v>
      </c>
      <c r="L1667" t="str">
        <f>""</f>
        <v/>
      </c>
      <c r="M1667" t="str">
        <f>"4806490747"</f>
        <v>4806490747</v>
      </c>
      <c r="N1667" t="str">
        <f>""</f>
        <v/>
      </c>
      <c r="O1667" t="s">
        <v>5833</v>
      </c>
      <c r="P1667" t="s">
        <v>5834</v>
      </c>
      <c r="R1667" t="s">
        <v>979</v>
      </c>
      <c r="S1667" t="s">
        <v>36</v>
      </c>
      <c r="T1667" t="str">
        <f>"85207"</f>
        <v>85207</v>
      </c>
      <c r="U1667" t="str">
        <f>""</f>
        <v/>
      </c>
      <c r="V1667" t="s">
        <v>5834</v>
      </c>
      <c r="X1667" t="s">
        <v>979</v>
      </c>
      <c r="Y1667" t="s">
        <v>36</v>
      </c>
      <c r="Z1667" t="str">
        <f>"85207"</f>
        <v>85207</v>
      </c>
      <c r="AA1667" t="str">
        <f>""</f>
        <v/>
      </c>
      <c r="AB1667" t="s">
        <v>2345</v>
      </c>
    </row>
    <row r="1668" spans="1:28" x14ac:dyDescent="0.25">
      <c r="A1668">
        <v>6446</v>
      </c>
      <c r="B1668" t="str">
        <f t="shared" si="293"/>
        <v>078915000</v>
      </c>
      <c r="C1668" t="s">
        <v>5822</v>
      </c>
      <c r="D1668">
        <v>10848</v>
      </c>
      <c r="E1668" t="str">
        <f>"078917001"</f>
        <v>078917001</v>
      </c>
      <c r="F1668" t="s">
        <v>5835</v>
      </c>
      <c r="G1668" t="s">
        <v>42</v>
      </c>
      <c r="H1668" t="s">
        <v>5836</v>
      </c>
      <c r="I1668" t="s">
        <v>5837</v>
      </c>
      <c r="J1668" t="s">
        <v>195</v>
      </c>
      <c r="K1668" t="str">
        <f>"9285371208"</f>
        <v>9285371208</v>
      </c>
      <c r="L1668" t="str">
        <f>""</f>
        <v/>
      </c>
      <c r="M1668" t="str">
        <f>"9285374275"</f>
        <v>9285374275</v>
      </c>
      <c r="N1668" t="str">
        <f>""</f>
        <v/>
      </c>
      <c r="O1668" t="s">
        <v>5838</v>
      </c>
      <c r="P1668" t="s">
        <v>5839</v>
      </c>
      <c r="R1668" t="s">
        <v>4088</v>
      </c>
      <c r="S1668" t="s">
        <v>36</v>
      </c>
      <c r="T1668" t="str">
        <f>"85901"</f>
        <v>85901</v>
      </c>
      <c r="U1668" t="str">
        <f>""</f>
        <v/>
      </c>
      <c r="V1668" t="s">
        <v>5839</v>
      </c>
      <c r="X1668" t="s">
        <v>4088</v>
      </c>
      <c r="Y1668" t="s">
        <v>36</v>
      </c>
      <c r="Z1668" t="str">
        <f>"85901"</f>
        <v>85901</v>
      </c>
      <c r="AA1668" t="str">
        <f>""</f>
        <v/>
      </c>
      <c r="AB1668" t="s">
        <v>2345</v>
      </c>
    </row>
    <row r="1669" spans="1:28" x14ac:dyDescent="0.25">
      <c r="A1669">
        <v>6446</v>
      </c>
      <c r="B1669" t="str">
        <f t="shared" si="293"/>
        <v>078915000</v>
      </c>
      <c r="C1669" t="s">
        <v>5822</v>
      </c>
      <c r="D1669">
        <v>10849</v>
      </c>
      <c r="E1669" t="str">
        <f>"078915001"</f>
        <v>078915001</v>
      </c>
      <c r="F1669" t="s">
        <v>5840</v>
      </c>
      <c r="G1669" t="s">
        <v>42</v>
      </c>
      <c r="H1669" t="s">
        <v>5841</v>
      </c>
      <c r="I1669" t="s">
        <v>5842</v>
      </c>
      <c r="J1669" t="s">
        <v>5843</v>
      </c>
      <c r="K1669" t="str">
        <f>"4806497737"</f>
        <v>4806497737</v>
      </c>
      <c r="L1669" t="str">
        <f>""</f>
        <v/>
      </c>
      <c r="M1669" t="str">
        <f>"4806490711"</f>
        <v>4806490711</v>
      </c>
      <c r="N1669" t="str">
        <f>""</f>
        <v/>
      </c>
      <c r="O1669" t="s">
        <v>5844</v>
      </c>
      <c r="P1669" t="s">
        <v>5826</v>
      </c>
      <c r="R1669" t="s">
        <v>979</v>
      </c>
      <c r="S1669" t="s">
        <v>36</v>
      </c>
      <c r="T1669" t="str">
        <f>"85204"</f>
        <v>85204</v>
      </c>
      <c r="U1669" t="str">
        <f>""</f>
        <v/>
      </c>
      <c r="V1669" t="s">
        <v>5826</v>
      </c>
      <c r="X1669" t="s">
        <v>979</v>
      </c>
      <c r="Y1669" t="s">
        <v>36</v>
      </c>
      <c r="Z1669" t="str">
        <f>"85204"</f>
        <v>85204</v>
      </c>
      <c r="AA1669" t="str">
        <f>""</f>
        <v/>
      </c>
      <c r="AB1669" t="s">
        <v>2345</v>
      </c>
    </row>
    <row r="1670" spans="1:28" x14ac:dyDescent="0.25">
      <c r="A1670">
        <v>6446</v>
      </c>
      <c r="B1670" t="str">
        <f t="shared" si="293"/>
        <v>078915000</v>
      </c>
      <c r="C1670" t="s">
        <v>5822</v>
      </c>
      <c r="D1670">
        <v>79219</v>
      </c>
      <c r="E1670" t="str">
        <f>"078744001"</f>
        <v>078744001</v>
      </c>
      <c r="F1670" t="s">
        <v>5845</v>
      </c>
      <c r="G1670" t="s">
        <v>42</v>
      </c>
      <c r="H1670" t="s">
        <v>5841</v>
      </c>
      <c r="I1670" t="s">
        <v>5842</v>
      </c>
      <c r="J1670" t="s">
        <v>716</v>
      </c>
      <c r="K1670" t="str">
        <f>"4806497737"</f>
        <v>4806497737</v>
      </c>
      <c r="L1670" t="str">
        <f>""</f>
        <v/>
      </c>
      <c r="M1670" t="str">
        <f>"4806490747"</f>
        <v>4806490747</v>
      </c>
      <c r="N1670" t="str">
        <f>""</f>
        <v/>
      </c>
      <c r="O1670" t="s">
        <v>5844</v>
      </c>
      <c r="P1670" t="s">
        <v>5826</v>
      </c>
      <c r="R1670" t="s">
        <v>979</v>
      </c>
      <c r="S1670" t="s">
        <v>36</v>
      </c>
      <c r="T1670" t="str">
        <f>"85204"</f>
        <v>85204</v>
      </c>
      <c r="U1670" t="str">
        <f>"5760"</f>
        <v>5760</v>
      </c>
      <c r="V1670" t="s">
        <v>5826</v>
      </c>
      <c r="X1670" t="s">
        <v>979</v>
      </c>
      <c r="Y1670" t="s">
        <v>36</v>
      </c>
      <c r="Z1670" t="str">
        <f>"85204"</f>
        <v>85204</v>
      </c>
      <c r="AA1670" t="str">
        <f>"5760"</f>
        <v>5760</v>
      </c>
      <c r="AB1670" t="s">
        <v>2345</v>
      </c>
    </row>
    <row r="1671" spans="1:28" x14ac:dyDescent="0.25">
      <c r="A1671">
        <v>6446</v>
      </c>
      <c r="B1671" t="str">
        <f t="shared" si="293"/>
        <v>078915000</v>
      </c>
      <c r="C1671" t="s">
        <v>5822</v>
      </c>
      <c r="D1671">
        <v>79263</v>
      </c>
      <c r="E1671" t="str">
        <f>"078740101"</f>
        <v>078740101</v>
      </c>
      <c r="F1671" t="s">
        <v>5846</v>
      </c>
      <c r="G1671" t="s">
        <v>42</v>
      </c>
      <c r="H1671" t="s">
        <v>3791</v>
      </c>
      <c r="I1671" t="s">
        <v>5847</v>
      </c>
      <c r="J1671" t="s">
        <v>5848</v>
      </c>
      <c r="K1671" t="str">
        <f>"6022664278"</f>
        <v>6022664278</v>
      </c>
      <c r="L1671" t="str">
        <f>""</f>
        <v/>
      </c>
      <c r="M1671" t="str">
        <f>"6029782764"</f>
        <v>6029782764</v>
      </c>
      <c r="N1671" t="str">
        <f>""</f>
        <v/>
      </c>
      <c r="O1671" t="s">
        <v>5849</v>
      </c>
      <c r="P1671" t="s">
        <v>5850</v>
      </c>
      <c r="R1671" t="s">
        <v>964</v>
      </c>
      <c r="S1671" t="s">
        <v>36</v>
      </c>
      <c r="T1671" t="str">
        <f>"85053"</f>
        <v>85053</v>
      </c>
      <c r="U1671" t="str">
        <f>""</f>
        <v/>
      </c>
      <c r="V1671" t="s">
        <v>5850</v>
      </c>
      <c r="X1671" t="s">
        <v>964</v>
      </c>
      <c r="Y1671" t="s">
        <v>36</v>
      </c>
      <c r="Z1671" t="str">
        <f>"85053"</f>
        <v>85053</v>
      </c>
      <c r="AA1671" t="str">
        <f>""</f>
        <v/>
      </c>
      <c r="AB1671" t="s">
        <v>2345</v>
      </c>
    </row>
    <row r="1672" spans="1:28" x14ac:dyDescent="0.25">
      <c r="A1672">
        <v>6446</v>
      </c>
      <c r="B1672" t="str">
        <f t="shared" si="293"/>
        <v>078915000</v>
      </c>
      <c r="C1672" t="s">
        <v>5822</v>
      </c>
      <c r="D1672">
        <v>79697</v>
      </c>
      <c r="E1672" t="str">
        <f>"078915005"</f>
        <v>078915005</v>
      </c>
      <c r="F1672" t="s">
        <v>5851</v>
      </c>
      <c r="G1672" t="s">
        <v>42</v>
      </c>
      <c r="H1672" t="s">
        <v>5841</v>
      </c>
      <c r="I1672" t="s">
        <v>5842</v>
      </c>
      <c r="J1672" t="s">
        <v>5227</v>
      </c>
      <c r="K1672" t="str">
        <f>"4806497737"</f>
        <v>4806497737</v>
      </c>
      <c r="L1672" t="str">
        <f>""</f>
        <v/>
      </c>
      <c r="M1672" t="str">
        <f>"4806490711"</f>
        <v>4806490711</v>
      </c>
      <c r="N1672" t="str">
        <f>""</f>
        <v/>
      </c>
      <c r="O1672" t="s">
        <v>5844</v>
      </c>
      <c r="P1672" t="s">
        <v>5826</v>
      </c>
      <c r="R1672" t="s">
        <v>979</v>
      </c>
      <c r="S1672" t="s">
        <v>36</v>
      </c>
      <c r="T1672" t="str">
        <f>"85204"</f>
        <v>85204</v>
      </c>
      <c r="U1672" t="str">
        <f>"5760"</f>
        <v>5760</v>
      </c>
      <c r="V1672" t="s">
        <v>5826</v>
      </c>
      <c r="X1672" t="s">
        <v>979</v>
      </c>
      <c r="Y1672" t="s">
        <v>36</v>
      </c>
      <c r="Z1672" t="str">
        <f>"85204"</f>
        <v>85204</v>
      </c>
      <c r="AA1672" t="str">
        <f>"5760"</f>
        <v>5760</v>
      </c>
      <c r="AB1672" t="s">
        <v>2345</v>
      </c>
    </row>
    <row r="1673" spans="1:28" x14ac:dyDescent="0.25">
      <c r="A1673">
        <v>6446</v>
      </c>
      <c r="B1673" t="str">
        <f t="shared" si="293"/>
        <v>078915000</v>
      </c>
      <c r="C1673" t="s">
        <v>5822</v>
      </c>
      <c r="D1673">
        <v>79982</v>
      </c>
      <c r="E1673" t="str">
        <f>"078971001"</f>
        <v>078971001</v>
      </c>
      <c r="F1673" t="s">
        <v>5852</v>
      </c>
      <c r="G1673" t="s">
        <v>42</v>
      </c>
      <c r="H1673" t="s">
        <v>3791</v>
      </c>
      <c r="I1673" t="s">
        <v>5847</v>
      </c>
      <c r="J1673" t="s">
        <v>5848</v>
      </c>
      <c r="K1673" t="str">
        <f>"6022664278"</f>
        <v>6022664278</v>
      </c>
      <c r="L1673" t="str">
        <f>""</f>
        <v/>
      </c>
      <c r="M1673" t="str">
        <f>"6029782764"</f>
        <v>6029782764</v>
      </c>
      <c r="N1673" t="str">
        <f>""</f>
        <v/>
      </c>
      <c r="O1673" t="s">
        <v>5849</v>
      </c>
      <c r="P1673" t="s">
        <v>5853</v>
      </c>
      <c r="R1673" t="s">
        <v>964</v>
      </c>
      <c r="S1673" t="s">
        <v>36</v>
      </c>
      <c r="T1673" t="str">
        <f>"85053"</f>
        <v>85053</v>
      </c>
      <c r="U1673" t="str">
        <f>""</f>
        <v/>
      </c>
      <c r="V1673" t="s">
        <v>5853</v>
      </c>
      <c r="X1673" t="s">
        <v>964</v>
      </c>
      <c r="Y1673" t="s">
        <v>36</v>
      </c>
      <c r="Z1673" t="str">
        <f>"85053"</f>
        <v>85053</v>
      </c>
      <c r="AA1673" t="str">
        <f>""</f>
        <v/>
      </c>
      <c r="AB1673" t="s">
        <v>2345</v>
      </c>
    </row>
    <row r="1674" spans="1:28" x14ac:dyDescent="0.25">
      <c r="A1674">
        <v>6446</v>
      </c>
      <c r="B1674" t="str">
        <f t="shared" si="293"/>
        <v>078915000</v>
      </c>
      <c r="C1674" t="s">
        <v>5822</v>
      </c>
      <c r="D1674">
        <v>88201</v>
      </c>
      <c r="E1674" t="str">
        <f>"138754003"</f>
        <v>138754003</v>
      </c>
      <c r="F1674" t="s">
        <v>5854</v>
      </c>
      <c r="G1674" t="s">
        <v>42</v>
      </c>
      <c r="H1674" t="s">
        <v>3752</v>
      </c>
      <c r="I1674" t="s">
        <v>785</v>
      </c>
      <c r="J1674" t="s">
        <v>710</v>
      </c>
      <c r="K1674" t="str">
        <f>"9285670462"</f>
        <v>9285670462</v>
      </c>
      <c r="L1674" t="str">
        <f>""</f>
        <v/>
      </c>
      <c r="M1674" t="str">
        <f>"9285677895"</f>
        <v>9285677895</v>
      </c>
      <c r="N1674" t="str">
        <f>""</f>
        <v/>
      </c>
      <c r="O1674" t="s">
        <v>5855</v>
      </c>
      <c r="P1674" t="s">
        <v>5856</v>
      </c>
      <c r="R1674" t="s">
        <v>5302</v>
      </c>
      <c r="S1674" t="s">
        <v>36</v>
      </c>
      <c r="T1674" t="str">
        <f>"86322"</f>
        <v>86322</v>
      </c>
      <c r="U1674" t="str">
        <f>""</f>
        <v/>
      </c>
      <c r="V1674" t="s">
        <v>5856</v>
      </c>
      <c r="X1674" t="s">
        <v>5302</v>
      </c>
      <c r="Y1674" t="s">
        <v>36</v>
      </c>
      <c r="Z1674" t="str">
        <f>"86322"</f>
        <v>86322</v>
      </c>
      <c r="AA1674" t="str">
        <f>""</f>
        <v/>
      </c>
      <c r="AB1674" t="s">
        <v>2345</v>
      </c>
    </row>
    <row r="1675" spans="1:28" x14ac:dyDescent="0.25">
      <c r="A1675">
        <v>6446</v>
      </c>
      <c r="B1675" t="str">
        <f t="shared" si="293"/>
        <v>078915000</v>
      </c>
      <c r="C1675" t="s">
        <v>5822</v>
      </c>
      <c r="D1675">
        <v>89920</v>
      </c>
      <c r="E1675" t="str">
        <f>"138705003"</f>
        <v>138705003</v>
      </c>
      <c r="F1675" t="s">
        <v>5857</v>
      </c>
      <c r="G1675" t="s">
        <v>42</v>
      </c>
      <c r="H1675" t="s">
        <v>2006</v>
      </c>
      <c r="I1675" t="s">
        <v>590</v>
      </c>
      <c r="J1675" t="s">
        <v>5858</v>
      </c>
      <c r="K1675" t="str">
        <f>"6027170500"</f>
        <v>6027170500</v>
      </c>
      <c r="L1675" t="str">
        <f>""</f>
        <v/>
      </c>
      <c r="M1675" t="str">
        <f>"6027120506"</f>
        <v>6027120506</v>
      </c>
      <c r="N1675" t="str">
        <f>""</f>
        <v/>
      </c>
      <c r="O1675" t="s">
        <v>5859</v>
      </c>
      <c r="P1675" t="s">
        <v>5860</v>
      </c>
      <c r="R1675" t="s">
        <v>964</v>
      </c>
      <c r="S1675" t="s">
        <v>36</v>
      </c>
      <c r="T1675" t="str">
        <f>"85034"</f>
        <v>85034</v>
      </c>
      <c r="U1675" t="str">
        <f>""</f>
        <v/>
      </c>
      <c r="V1675" t="s">
        <v>5860</v>
      </c>
      <c r="X1675" t="s">
        <v>964</v>
      </c>
      <c r="Y1675" t="s">
        <v>36</v>
      </c>
      <c r="Z1675" t="str">
        <f>"85034"</f>
        <v>85034</v>
      </c>
      <c r="AA1675" t="str">
        <f>""</f>
        <v/>
      </c>
      <c r="AB1675" t="s">
        <v>2345</v>
      </c>
    </row>
    <row r="1676" spans="1:28" x14ac:dyDescent="0.25">
      <c r="A1676">
        <v>6446</v>
      </c>
      <c r="B1676" t="str">
        <f t="shared" si="293"/>
        <v>078915000</v>
      </c>
      <c r="C1676" t="s">
        <v>5822</v>
      </c>
      <c r="D1676">
        <v>90322</v>
      </c>
      <c r="E1676" t="str">
        <f>"078705206"</f>
        <v>078705206</v>
      </c>
      <c r="F1676" t="s">
        <v>5861</v>
      </c>
      <c r="G1676" t="s">
        <v>42</v>
      </c>
      <c r="H1676" t="s">
        <v>2006</v>
      </c>
      <c r="I1676" t="s">
        <v>590</v>
      </c>
      <c r="J1676" t="s">
        <v>195</v>
      </c>
      <c r="K1676" t="str">
        <f>"6027120500"</f>
        <v>6027120500</v>
      </c>
      <c r="L1676" t="str">
        <f>""</f>
        <v/>
      </c>
      <c r="M1676" t="str">
        <f>"6027120506"</f>
        <v>6027120506</v>
      </c>
      <c r="N1676" t="str">
        <f>""</f>
        <v/>
      </c>
      <c r="O1676" t="s">
        <v>5862</v>
      </c>
      <c r="P1676" t="s">
        <v>5863</v>
      </c>
      <c r="R1676" t="s">
        <v>964</v>
      </c>
      <c r="S1676" t="s">
        <v>36</v>
      </c>
      <c r="T1676" t="str">
        <f>"85034"</f>
        <v>85034</v>
      </c>
      <c r="U1676" t="str">
        <f>""</f>
        <v/>
      </c>
      <c r="V1676" t="s">
        <v>5863</v>
      </c>
      <c r="X1676" t="s">
        <v>964</v>
      </c>
      <c r="Y1676" t="s">
        <v>36</v>
      </c>
      <c r="Z1676" t="str">
        <f>"85034"</f>
        <v>85034</v>
      </c>
      <c r="AA1676" t="str">
        <f>""</f>
        <v/>
      </c>
      <c r="AB1676" t="s">
        <v>2345</v>
      </c>
    </row>
    <row r="1677" spans="1:28" x14ac:dyDescent="0.25">
      <c r="A1677">
        <v>6446</v>
      </c>
      <c r="B1677" t="str">
        <f t="shared" si="293"/>
        <v>078915000</v>
      </c>
      <c r="C1677" t="s">
        <v>5822</v>
      </c>
      <c r="D1677">
        <v>90324</v>
      </c>
      <c r="E1677" t="str">
        <f>"078917005"</f>
        <v>078917005</v>
      </c>
      <c r="F1677" t="s">
        <v>5864</v>
      </c>
      <c r="G1677" t="s">
        <v>42</v>
      </c>
      <c r="H1677" t="s">
        <v>5836</v>
      </c>
      <c r="I1677" t="s">
        <v>5837</v>
      </c>
      <c r="J1677" t="s">
        <v>195</v>
      </c>
      <c r="K1677" t="str">
        <f>"9285371208"</f>
        <v>9285371208</v>
      </c>
      <c r="L1677" t="str">
        <f>""</f>
        <v/>
      </c>
      <c r="M1677" t="str">
        <f>"9285374275"</f>
        <v>9285374275</v>
      </c>
      <c r="N1677" t="str">
        <f>""</f>
        <v/>
      </c>
      <c r="O1677" t="s">
        <v>5838</v>
      </c>
      <c r="P1677" t="s">
        <v>5865</v>
      </c>
      <c r="R1677" t="s">
        <v>4088</v>
      </c>
      <c r="S1677" t="s">
        <v>36</v>
      </c>
      <c r="T1677" t="str">
        <f>"85901"</f>
        <v>85901</v>
      </c>
      <c r="U1677" t="str">
        <f>""</f>
        <v/>
      </c>
      <c r="V1677" t="s">
        <v>5865</v>
      </c>
      <c r="X1677" t="s">
        <v>4088</v>
      </c>
      <c r="Y1677" t="s">
        <v>36</v>
      </c>
      <c r="Z1677" t="str">
        <f>"85901"</f>
        <v>85901</v>
      </c>
      <c r="AA1677" t="str">
        <f>""</f>
        <v/>
      </c>
      <c r="AB1677" t="s">
        <v>2345</v>
      </c>
    </row>
    <row r="1678" spans="1:28" x14ac:dyDescent="0.25">
      <c r="A1678">
        <v>6446</v>
      </c>
      <c r="B1678" t="str">
        <f t="shared" si="293"/>
        <v>078915000</v>
      </c>
      <c r="C1678" t="s">
        <v>5822</v>
      </c>
      <c r="D1678">
        <v>90349</v>
      </c>
      <c r="E1678" t="str">
        <f>"078971002"</f>
        <v>078971002</v>
      </c>
      <c r="F1678" t="s">
        <v>5866</v>
      </c>
      <c r="G1678" t="s">
        <v>42</v>
      </c>
      <c r="H1678" t="s">
        <v>3791</v>
      </c>
      <c r="I1678" t="s">
        <v>5847</v>
      </c>
      <c r="J1678" t="s">
        <v>5848</v>
      </c>
      <c r="K1678" t="str">
        <f>"6022664278"</f>
        <v>6022664278</v>
      </c>
      <c r="L1678" t="str">
        <f>""</f>
        <v/>
      </c>
      <c r="M1678" t="str">
        <f>"6029782764"</f>
        <v>6029782764</v>
      </c>
      <c r="N1678" t="str">
        <f>""</f>
        <v/>
      </c>
      <c r="O1678" t="s">
        <v>5849</v>
      </c>
      <c r="P1678" t="s">
        <v>5853</v>
      </c>
      <c r="R1678" t="s">
        <v>964</v>
      </c>
      <c r="S1678" t="s">
        <v>36</v>
      </c>
      <c r="T1678" t="str">
        <f>"85053"</f>
        <v>85053</v>
      </c>
      <c r="U1678" t="str">
        <f>""</f>
        <v/>
      </c>
      <c r="V1678" t="s">
        <v>5853</v>
      </c>
      <c r="X1678" t="s">
        <v>964</v>
      </c>
      <c r="Y1678" t="s">
        <v>36</v>
      </c>
      <c r="Z1678" t="str">
        <f>"85053"</f>
        <v>85053</v>
      </c>
      <c r="AA1678" t="str">
        <f>""</f>
        <v/>
      </c>
      <c r="AB1678" t="s">
        <v>2345</v>
      </c>
    </row>
    <row r="1679" spans="1:28" x14ac:dyDescent="0.25">
      <c r="A1679">
        <v>6446</v>
      </c>
      <c r="B1679" t="str">
        <f t="shared" si="293"/>
        <v>078915000</v>
      </c>
      <c r="C1679" t="s">
        <v>5822</v>
      </c>
      <c r="D1679">
        <v>90377</v>
      </c>
      <c r="E1679" t="str">
        <f>"078246002"</f>
        <v>078246002</v>
      </c>
      <c r="F1679" t="s">
        <v>5867</v>
      </c>
      <c r="G1679" t="s">
        <v>42</v>
      </c>
      <c r="H1679" t="s">
        <v>2037</v>
      </c>
      <c r="I1679" t="s">
        <v>5868</v>
      </c>
      <c r="J1679" t="s">
        <v>5227</v>
      </c>
      <c r="K1679" t="str">
        <f>"5205689333"</f>
        <v>5205689333</v>
      </c>
      <c r="L1679" t="str">
        <f>""</f>
        <v/>
      </c>
      <c r="M1679" t="str">
        <f>"5205689444"</f>
        <v>5205689444</v>
      </c>
      <c r="N1679" t="str">
        <f>""</f>
        <v/>
      </c>
      <c r="O1679" t="s">
        <v>5869</v>
      </c>
      <c r="P1679" t="s">
        <v>5870</v>
      </c>
      <c r="R1679" t="s">
        <v>2281</v>
      </c>
      <c r="S1679" t="s">
        <v>36</v>
      </c>
      <c r="T1679" t="str">
        <f>"85238"</f>
        <v>85238</v>
      </c>
      <c r="U1679" t="str">
        <f>""</f>
        <v/>
      </c>
      <c r="V1679" t="s">
        <v>5870</v>
      </c>
      <c r="X1679" t="s">
        <v>2281</v>
      </c>
      <c r="Y1679" t="s">
        <v>36</v>
      </c>
      <c r="Z1679" t="str">
        <f>"85238"</f>
        <v>85238</v>
      </c>
      <c r="AA1679" t="str">
        <f>""</f>
        <v/>
      </c>
      <c r="AB1679" t="s">
        <v>2345</v>
      </c>
    </row>
    <row r="1680" spans="1:28" x14ac:dyDescent="0.25">
      <c r="A1680">
        <v>6446</v>
      </c>
      <c r="B1680" t="str">
        <f t="shared" si="293"/>
        <v>078915000</v>
      </c>
      <c r="C1680" t="s">
        <v>5822</v>
      </c>
      <c r="D1680">
        <v>92290</v>
      </c>
      <c r="E1680" t="str">
        <f>"078742003"</f>
        <v>078742003</v>
      </c>
      <c r="F1680" t="s">
        <v>5871</v>
      </c>
      <c r="G1680" t="s">
        <v>42</v>
      </c>
      <c r="H1680" t="s">
        <v>2006</v>
      </c>
      <c r="I1680" t="s">
        <v>5872</v>
      </c>
      <c r="J1680" t="s">
        <v>195</v>
      </c>
      <c r="K1680" t="str">
        <f>"4803979890"</f>
        <v>4803979890</v>
      </c>
      <c r="L1680" t="str">
        <f>""</f>
        <v/>
      </c>
      <c r="M1680" t="str">
        <f>"4808904003"</f>
        <v>4808904003</v>
      </c>
      <c r="N1680" t="str">
        <f>""</f>
        <v/>
      </c>
      <c r="O1680" t="s">
        <v>5873</v>
      </c>
      <c r="P1680" t="s">
        <v>5874</v>
      </c>
      <c r="R1680" t="s">
        <v>979</v>
      </c>
      <c r="S1680" t="s">
        <v>36</v>
      </c>
      <c r="T1680" t="str">
        <f>"85203"</f>
        <v>85203</v>
      </c>
      <c r="U1680" t="str">
        <f>""</f>
        <v/>
      </c>
      <c r="V1680" t="s">
        <v>5874</v>
      </c>
      <c r="X1680" t="s">
        <v>979</v>
      </c>
      <c r="Y1680" t="s">
        <v>36</v>
      </c>
      <c r="Z1680" t="str">
        <f>"85203"</f>
        <v>85203</v>
      </c>
      <c r="AA1680" t="str">
        <f>""</f>
        <v/>
      </c>
      <c r="AB1680" t="s">
        <v>2345</v>
      </c>
    </row>
    <row r="1681" spans="1:28" x14ac:dyDescent="0.25">
      <c r="A1681">
        <v>6446</v>
      </c>
      <c r="B1681" t="str">
        <f t="shared" si="293"/>
        <v>078915000</v>
      </c>
      <c r="C1681" t="s">
        <v>5822</v>
      </c>
      <c r="D1681">
        <v>92492</v>
      </c>
      <c r="E1681" t="str">
        <f>"078742004"</f>
        <v>078742004</v>
      </c>
      <c r="F1681" t="s">
        <v>5875</v>
      </c>
      <c r="G1681" t="s">
        <v>42</v>
      </c>
      <c r="H1681" t="s">
        <v>275</v>
      </c>
      <c r="I1681" t="s">
        <v>3690</v>
      </c>
      <c r="J1681" t="s">
        <v>195</v>
      </c>
      <c r="K1681" t="str">
        <f>"4804613200"</f>
        <v>4804613200</v>
      </c>
      <c r="L1681" t="str">
        <f>"18000"</f>
        <v>18000</v>
      </c>
      <c r="M1681" t="str">
        <f>"4806490747"</f>
        <v>4806490747</v>
      </c>
      <c r="N1681" t="str">
        <f>""</f>
        <v/>
      </c>
      <c r="O1681" t="s">
        <v>5876</v>
      </c>
      <c r="P1681" t="s">
        <v>5877</v>
      </c>
      <c r="R1681" t="s">
        <v>979</v>
      </c>
      <c r="S1681" t="s">
        <v>36</v>
      </c>
      <c r="T1681" t="str">
        <f>"85212"</f>
        <v>85212</v>
      </c>
      <c r="U1681" t="str">
        <f>""</f>
        <v/>
      </c>
      <c r="V1681" t="s">
        <v>5877</v>
      </c>
      <c r="X1681" t="s">
        <v>979</v>
      </c>
      <c r="Y1681" t="s">
        <v>36</v>
      </c>
      <c r="Z1681" t="str">
        <f>"85212"</f>
        <v>85212</v>
      </c>
      <c r="AA1681" t="str">
        <f>""</f>
        <v/>
      </c>
      <c r="AB1681" t="s">
        <v>2345</v>
      </c>
    </row>
    <row r="1682" spans="1:28" x14ac:dyDescent="0.25">
      <c r="A1682">
        <v>6446</v>
      </c>
      <c r="B1682" t="str">
        <f t="shared" si="293"/>
        <v>078915000</v>
      </c>
      <c r="C1682" t="s">
        <v>5822</v>
      </c>
      <c r="D1682">
        <v>92912</v>
      </c>
      <c r="E1682" t="str">
        <f>"078917004"</f>
        <v>078917004</v>
      </c>
      <c r="F1682" t="s">
        <v>5878</v>
      </c>
      <c r="G1682" t="s">
        <v>42</v>
      </c>
      <c r="H1682" t="s">
        <v>360</v>
      </c>
      <c r="I1682" t="s">
        <v>5879</v>
      </c>
      <c r="J1682" t="s">
        <v>195</v>
      </c>
      <c r="K1682" t="str">
        <f>"9284406228"</f>
        <v>9284406228</v>
      </c>
      <c r="L1682" t="str">
        <f>""</f>
        <v/>
      </c>
      <c r="M1682" t="str">
        <f>""</f>
        <v/>
      </c>
      <c r="N1682" t="str">
        <f>""</f>
        <v/>
      </c>
      <c r="O1682" t="s">
        <v>5880</v>
      </c>
      <c r="P1682" t="s">
        <v>5881</v>
      </c>
      <c r="R1682" t="s">
        <v>4045</v>
      </c>
      <c r="S1682" t="s">
        <v>36</v>
      </c>
      <c r="T1682" t="str">
        <f>"85937"</f>
        <v>85937</v>
      </c>
      <c r="U1682" t="str">
        <f>""</f>
        <v/>
      </c>
      <c r="V1682" t="s">
        <v>5881</v>
      </c>
      <c r="X1682" t="s">
        <v>4045</v>
      </c>
      <c r="Y1682" t="s">
        <v>36</v>
      </c>
      <c r="Z1682" t="str">
        <f>"85937"</f>
        <v>85937</v>
      </c>
      <c r="AA1682" t="str">
        <f>""</f>
        <v/>
      </c>
      <c r="AB1682" t="s">
        <v>2345</v>
      </c>
    </row>
    <row r="1683" spans="1:28" x14ac:dyDescent="0.25">
      <c r="A1683">
        <v>6446</v>
      </c>
      <c r="B1683" t="str">
        <f t="shared" si="293"/>
        <v>078915000</v>
      </c>
      <c r="C1683" t="s">
        <v>5822</v>
      </c>
      <c r="D1683">
        <v>920316</v>
      </c>
      <c r="E1683" t="str">
        <f>"078744003"</f>
        <v>078744003</v>
      </c>
      <c r="F1683" t="s">
        <v>5882</v>
      </c>
      <c r="G1683" t="s">
        <v>42</v>
      </c>
      <c r="H1683" t="s">
        <v>2006</v>
      </c>
      <c r="I1683" t="s">
        <v>590</v>
      </c>
      <c r="J1683" t="s">
        <v>5883</v>
      </c>
      <c r="K1683" t="str">
        <f>"6027170500"</f>
        <v>6027170500</v>
      </c>
      <c r="L1683" t="str">
        <f>""</f>
        <v/>
      </c>
      <c r="M1683" t="str">
        <f>"6027170506"</f>
        <v>6027170506</v>
      </c>
      <c r="N1683" t="str">
        <f>""</f>
        <v/>
      </c>
      <c r="O1683" t="s">
        <v>5862</v>
      </c>
      <c r="P1683" t="s">
        <v>5863</v>
      </c>
      <c r="R1683" t="s">
        <v>964</v>
      </c>
      <c r="S1683" t="s">
        <v>36</v>
      </c>
      <c r="T1683" t="str">
        <f>"85034"</f>
        <v>85034</v>
      </c>
      <c r="U1683" t="str">
        <f>""</f>
        <v/>
      </c>
      <c r="V1683" t="s">
        <v>5863</v>
      </c>
      <c r="X1683" t="s">
        <v>964</v>
      </c>
      <c r="Y1683" t="s">
        <v>36</v>
      </c>
      <c r="Z1683" t="str">
        <f>"85034"</f>
        <v>85034</v>
      </c>
      <c r="AA1683" t="str">
        <f>""</f>
        <v/>
      </c>
      <c r="AB1683" t="s">
        <v>2345</v>
      </c>
    </row>
    <row r="1684" spans="1:28" x14ac:dyDescent="0.25">
      <c r="A1684">
        <v>6470</v>
      </c>
      <c r="B1684" t="str">
        <f>"012101000"</f>
        <v>012101000</v>
      </c>
      <c r="C1684" t="s">
        <v>5884</v>
      </c>
      <c r="D1684">
        <v>0</v>
      </c>
      <c r="E1684" t="str">
        <f>""</f>
        <v/>
      </c>
      <c r="G1684" t="s">
        <v>29</v>
      </c>
      <c r="H1684" t="s">
        <v>857</v>
      </c>
      <c r="I1684" t="s">
        <v>5885</v>
      </c>
      <c r="J1684" t="s">
        <v>195</v>
      </c>
      <c r="K1684" t="str">
        <f>"9288712831"</f>
        <v>9288712831</v>
      </c>
      <c r="L1684" t="str">
        <f>""</f>
        <v/>
      </c>
      <c r="M1684" t="str">
        <f>"9288714873"</f>
        <v>9288714873</v>
      </c>
      <c r="N1684" t="str">
        <f>""</f>
        <v/>
      </c>
      <c r="O1684" t="s">
        <v>5886</v>
      </c>
      <c r="P1684" t="s">
        <v>5887</v>
      </c>
      <c r="R1684" t="s">
        <v>5888</v>
      </c>
      <c r="S1684" t="s">
        <v>36</v>
      </c>
      <c r="T1684" t="str">
        <f>"86511"</f>
        <v>86511</v>
      </c>
      <c r="U1684" t="str">
        <f>""</f>
        <v/>
      </c>
      <c r="V1684" t="s">
        <v>5889</v>
      </c>
      <c r="X1684" t="s">
        <v>5888</v>
      </c>
      <c r="Y1684" t="s">
        <v>36</v>
      </c>
      <c r="Z1684" t="str">
        <f>"86511"</f>
        <v>86511</v>
      </c>
      <c r="AA1684" t="str">
        <f>""</f>
        <v/>
      </c>
      <c r="AB1684" t="s">
        <v>4726</v>
      </c>
    </row>
    <row r="1685" spans="1:28" x14ac:dyDescent="0.25">
      <c r="A1685">
        <v>6470</v>
      </c>
      <c r="B1685" t="str">
        <f>"012101000"</f>
        <v>012101000</v>
      </c>
      <c r="C1685" t="s">
        <v>5884</v>
      </c>
      <c r="D1685">
        <v>6471</v>
      </c>
      <c r="E1685" t="str">
        <f>"012101001"</f>
        <v>012101001</v>
      </c>
      <c r="F1685" t="s">
        <v>5890</v>
      </c>
      <c r="G1685" t="s">
        <v>42</v>
      </c>
      <c r="H1685" t="s">
        <v>857</v>
      </c>
      <c r="I1685" t="s">
        <v>5885</v>
      </c>
      <c r="J1685" t="s">
        <v>195</v>
      </c>
      <c r="K1685" t="str">
        <f>"9288712831"</f>
        <v>9288712831</v>
      </c>
      <c r="L1685" t="str">
        <f>"8231"</f>
        <v>8231</v>
      </c>
      <c r="M1685" t="str">
        <f>"9288714873"</f>
        <v>9288714873</v>
      </c>
      <c r="N1685" t="str">
        <f>"4873"</f>
        <v>4873</v>
      </c>
      <c r="O1685" t="s">
        <v>5886</v>
      </c>
      <c r="P1685" t="s">
        <v>5891</v>
      </c>
      <c r="R1685" t="s">
        <v>5888</v>
      </c>
      <c r="S1685" t="s">
        <v>36</v>
      </c>
      <c r="T1685" t="str">
        <f>"86511"</f>
        <v>86511</v>
      </c>
      <c r="U1685" t="str">
        <f>""</f>
        <v/>
      </c>
      <c r="V1685" t="s">
        <v>5892</v>
      </c>
      <c r="X1685" t="s">
        <v>5888</v>
      </c>
      <c r="Y1685" t="s">
        <v>36</v>
      </c>
      <c r="Z1685" t="str">
        <f>"86511"</f>
        <v>86511</v>
      </c>
      <c r="AA1685" t="str">
        <f>""</f>
        <v/>
      </c>
      <c r="AB1685" t="s">
        <v>4726</v>
      </c>
    </row>
    <row r="1686" spans="1:28" x14ac:dyDescent="0.25">
      <c r="A1686">
        <v>6568</v>
      </c>
      <c r="B1686" t="str">
        <f>"014304000"</f>
        <v>014304000</v>
      </c>
      <c r="C1686" t="s">
        <v>5893</v>
      </c>
      <c r="D1686">
        <v>0</v>
      </c>
      <c r="E1686" t="str">
        <f>""</f>
        <v/>
      </c>
      <c r="G1686" t="s">
        <v>29</v>
      </c>
      <c r="H1686" t="s">
        <v>5894</v>
      </c>
      <c r="I1686" t="s">
        <v>5895</v>
      </c>
      <c r="J1686" t="s">
        <v>5896</v>
      </c>
      <c r="K1686" t="str">
        <f>"9286534456"</f>
        <v>9286534456</v>
      </c>
      <c r="L1686" t="str">
        <f>"2317"</f>
        <v>2317</v>
      </c>
      <c r="M1686" t="str">
        <f>"9286535711"</f>
        <v>9286535711</v>
      </c>
      <c r="N1686" t="str">
        <f>""</f>
        <v/>
      </c>
      <c r="O1686" t="s">
        <v>5897</v>
      </c>
      <c r="P1686" t="s">
        <v>5898</v>
      </c>
      <c r="R1686" t="s">
        <v>183</v>
      </c>
      <c r="S1686" t="s">
        <v>36</v>
      </c>
      <c r="T1686" t="str">
        <f>"86544"</f>
        <v>86544</v>
      </c>
      <c r="U1686" t="str">
        <f>""</f>
        <v/>
      </c>
      <c r="V1686" t="s">
        <v>5899</v>
      </c>
      <c r="X1686" t="s">
        <v>183</v>
      </c>
      <c r="Y1686" t="s">
        <v>36</v>
      </c>
      <c r="Z1686" t="str">
        <f>"86544"</f>
        <v>86544</v>
      </c>
      <c r="AA1686" t="str">
        <f>""</f>
        <v/>
      </c>
      <c r="AB1686" t="s">
        <v>282</v>
      </c>
    </row>
    <row r="1687" spans="1:28" x14ac:dyDescent="0.25">
      <c r="A1687">
        <v>6568</v>
      </c>
      <c r="B1687" t="str">
        <f>"014304000"</f>
        <v>014304000</v>
      </c>
      <c r="C1687" t="s">
        <v>5893</v>
      </c>
      <c r="D1687">
        <v>6569</v>
      </c>
      <c r="E1687" t="str">
        <f>"014304001"</f>
        <v>014304001</v>
      </c>
      <c r="F1687" t="s">
        <v>5893</v>
      </c>
      <c r="G1687" t="s">
        <v>42</v>
      </c>
      <c r="H1687" t="s">
        <v>5894</v>
      </c>
      <c r="I1687" t="s">
        <v>5895</v>
      </c>
      <c r="J1687" t="s">
        <v>5900</v>
      </c>
      <c r="K1687" t="str">
        <f>"9286534456"</f>
        <v>9286534456</v>
      </c>
      <c r="L1687" t="str">
        <f>""</f>
        <v/>
      </c>
      <c r="M1687" t="str">
        <f>"9286535711"</f>
        <v>9286535711</v>
      </c>
      <c r="N1687" t="str">
        <f>""</f>
        <v/>
      </c>
      <c r="O1687" t="s">
        <v>5901</v>
      </c>
      <c r="P1687" t="s">
        <v>5898</v>
      </c>
      <c r="R1687" t="s">
        <v>183</v>
      </c>
      <c r="S1687" t="s">
        <v>36</v>
      </c>
      <c r="T1687" t="str">
        <f>"86544"</f>
        <v>86544</v>
      </c>
      <c r="U1687" t="str">
        <f>""</f>
        <v/>
      </c>
      <c r="V1687" t="s">
        <v>5899</v>
      </c>
      <c r="X1687" t="s">
        <v>183</v>
      </c>
      <c r="Y1687" t="s">
        <v>36</v>
      </c>
      <c r="Z1687" t="str">
        <f>"86544"</f>
        <v>86544</v>
      </c>
      <c r="AA1687" t="str">
        <f>""</f>
        <v/>
      </c>
      <c r="AB1687" t="s">
        <v>282</v>
      </c>
    </row>
    <row r="1688" spans="1:28" x14ac:dyDescent="0.25">
      <c r="A1688">
        <v>6570</v>
      </c>
      <c r="B1688" t="str">
        <f>"014305000"</f>
        <v>014305000</v>
      </c>
      <c r="C1688" t="s">
        <v>5902</v>
      </c>
      <c r="D1688">
        <v>0</v>
      </c>
      <c r="E1688" t="str">
        <f>""</f>
        <v/>
      </c>
      <c r="G1688" t="s">
        <v>29</v>
      </c>
      <c r="H1688" t="s">
        <v>5195</v>
      </c>
      <c r="I1688" t="s">
        <v>5903</v>
      </c>
      <c r="J1688" t="s">
        <v>5904</v>
      </c>
      <c r="K1688" t="str">
        <f>"9287253235"</f>
        <v>9287253235</v>
      </c>
      <c r="L1688" t="str">
        <f>"24"</f>
        <v>24</v>
      </c>
      <c r="M1688" t="str">
        <f>"9287253234"</f>
        <v>9287253234</v>
      </c>
      <c r="N1688" t="str">
        <f>""</f>
        <v/>
      </c>
      <c r="O1688" t="s">
        <v>5905</v>
      </c>
      <c r="P1688" t="s">
        <v>5906</v>
      </c>
      <c r="R1688" t="s">
        <v>137</v>
      </c>
      <c r="S1688" t="s">
        <v>36</v>
      </c>
      <c r="T1688" t="str">
        <f>"86503"</f>
        <v>86503</v>
      </c>
      <c r="U1688" t="str">
        <f>""</f>
        <v/>
      </c>
      <c r="V1688" t="s">
        <v>5906</v>
      </c>
      <c r="X1688" t="s">
        <v>137</v>
      </c>
      <c r="Y1688" t="s">
        <v>36</v>
      </c>
      <c r="Z1688" t="str">
        <f>"86503"</f>
        <v>86503</v>
      </c>
      <c r="AA1688" t="str">
        <f>""</f>
        <v/>
      </c>
      <c r="AB1688" t="s">
        <v>821</v>
      </c>
    </row>
    <row r="1689" spans="1:28" x14ac:dyDescent="0.25">
      <c r="A1689">
        <v>6570</v>
      </c>
      <c r="B1689" t="str">
        <f>"014305000"</f>
        <v>014305000</v>
      </c>
      <c r="C1689" t="s">
        <v>5902</v>
      </c>
      <c r="D1689">
        <v>6571</v>
      </c>
      <c r="E1689" t="str">
        <f>"014305001"</f>
        <v>014305001</v>
      </c>
      <c r="F1689" t="s">
        <v>5902</v>
      </c>
      <c r="G1689" t="s">
        <v>42</v>
      </c>
      <c r="H1689" t="s">
        <v>5907</v>
      </c>
      <c r="I1689" t="s">
        <v>150</v>
      </c>
      <c r="J1689" t="s">
        <v>4820</v>
      </c>
      <c r="K1689" t="str">
        <f>"9287253235"</f>
        <v>9287253235</v>
      </c>
      <c r="L1689" t="str">
        <f>"107"</f>
        <v>107</v>
      </c>
      <c r="M1689" t="str">
        <f>"9287253237"</f>
        <v>9287253237</v>
      </c>
      <c r="N1689" t="str">
        <f>""</f>
        <v/>
      </c>
      <c r="O1689" t="s">
        <v>5908</v>
      </c>
      <c r="P1689" t="s">
        <v>5906</v>
      </c>
      <c r="R1689" t="s">
        <v>137</v>
      </c>
      <c r="S1689" t="s">
        <v>36</v>
      </c>
      <c r="T1689" t="str">
        <f>"86503"</f>
        <v>86503</v>
      </c>
      <c r="U1689" t="str">
        <f>""</f>
        <v/>
      </c>
      <c r="V1689" t="s">
        <v>5906</v>
      </c>
      <c r="X1689" t="s">
        <v>137</v>
      </c>
      <c r="Y1689" t="s">
        <v>36</v>
      </c>
      <c r="Z1689" t="str">
        <f>"86503"</f>
        <v>86503</v>
      </c>
      <c r="AA1689" t="str">
        <f>""</f>
        <v/>
      </c>
      <c r="AB1689" t="s">
        <v>821</v>
      </c>
    </row>
    <row r="1690" spans="1:28" x14ac:dyDescent="0.25">
      <c r="A1690">
        <v>7291</v>
      </c>
      <c r="B1690" t="str">
        <f>"071001000"</f>
        <v>071001000</v>
      </c>
      <c r="C1690" t="s">
        <v>5909</v>
      </c>
      <c r="D1690">
        <v>0</v>
      </c>
      <c r="E1690" t="str">
        <f>""</f>
        <v/>
      </c>
      <c r="G1690" t="s">
        <v>29</v>
      </c>
      <c r="H1690" t="s">
        <v>4084</v>
      </c>
      <c r="I1690" t="s">
        <v>194</v>
      </c>
      <c r="J1690" t="s">
        <v>195</v>
      </c>
      <c r="K1690" t="str">
        <f>"6025064013"</f>
        <v>6025064013</v>
      </c>
      <c r="L1690" t="str">
        <f>""</f>
        <v/>
      </c>
      <c r="M1690" t="str">
        <f>"6025064145"</f>
        <v>6025064145</v>
      </c>
      <c r="N1690" t="str">
        <f>""</f>
        <v/>
      </c>
      <c r="O1690" t="s">
        <v>5910</v>
      </c>
      <c r="P1690" t="s">
        <v>5911</v>
      </c>
      <c r="Q1690" t="s">
        <v>5912</v>
      </c>
      <c r="R1690" t="s">
        <v>964</v>
      </c>
      <c r="S1690" t="s">
        <v>36</v>
      </c>
      <c r="T1690" t="str">
        <f>"85003"</f>
        <v>85003</v>
      </c>
      <c r="U1690" t="str">
        <f>""</f>
        <v/>
      </c>
      <c r="V1690" t="s">
        <v>5913</v>
      </c>
      <c r="W1690" t="s">
        <v>5914</v>
      </c>
      <c r="X1690" t="s">
        <v>964</v>
      </c>
      <c r="Y1690" t="s">
        <v>36</v>
      </c>
      <c r="Z1690" t="str">
        <f>"85009"</f>
        <v>85009</v>
      </c>
      <c r="AA1690" t="str">
        <f>""</f>
        <v/>
      </c>
      <c r="AB1690" t="s">
        <v>265</v>
      </c>
    </row>
    <row r="1691" spans="1:28" x14ac:dyDescent="0.25">
      <c r="A1691">
        <v>7291</v>
      </c>
      <c r="B1691" t="str">
        <f>"071001000"</f>
        <v>071001000</v>
      </c>
      <c r="C1691" t="s">
        <v>5909</v>
      </c>
      <c r="D1691">
        <v>7292</v>
      </c>
      <c r="E1691" t="str">
        <f>"071001001"</f>
        <v>071001001</v>
      </c>
      <c r="F1691" t="s">
        <v>5909</v>
      </c>
      <c r="G1691" t="s">
        <v>42</v>
      </c>
      <c r="H1691" t="s">
        <v>4084</v>
      </c>
      <c r="I1691" t="s">
        <v>194</v>
      </c>
      <c r="J1691" t="s">
        <v>5227</v>
      </c>
      <c r="K1691" t="str">
        <f>"6023591203"</f>
        <v>6023591203</v>
      </c>
      <c r="L1691" t="str">
        <f>""</f>
        <v/>
      </c>
      <c r="M1691" t="str">
        <f>"6025064145"</f>
        <v>6025064145</v>
      </c>
      <c r="N1691" t="str">
        <f>""</f>
        <v/>
      </c>
      <c r="O1691" t="s">
        <v>5910</v>
      </c>
      <c r="P1691" t="s">
        <v>5911</v>
      </c>
      <c r="Q1691" t="s">
        <v>5915</v>
      </c>
      <c r="R1691" t="s">
        <v>964</v>
      </c>
      <c r="S1691" t="s">
        <v>36</v>
      </c>
      <c r="T1691" t="str">
        <f>"85003"</f>
        <v>85003</v>
      </c>
      <c r="U1691" t="str">
        <f>""</f>
        <v/>
      </c>
      <c r="V1691" t="s">
        <v>5916</v>
      </c>
      <c r="X1691" t="s">
        <v>979</v>
      </c>
      <c r="Y1691" t="s">
        <v>36</v>
      </c>
      <c r="Z1691" t="str">
        <f>"85210"</f>
        <v>85210</v>
      </c>
      <c r="AA1691" t="str">
        <f>""</f>
        <v/>
      </c>
      <c r="AB1691" t="s">
        <v>265</v>
      </c>
    </row>
    <row r="1692" spans="1:28" x14ac:dyDescent="0.25">
      <c r="A1692">
        <v>7291</v>
      </c>
      <c r="B1692" t="str">
        <f>"071001000"</f>
        <v>071001000</v>
      </c>
      <c r="C1692" t="s">
        <v>5909</v>
      </c>
      <c r="D1692">
        <v>89614</v>
      </c>
      <c r="E1692" t="str">
        <f>"071001002"</f>
        <v>071001002</v>
      </c>
      <c r="F1692" t="s">
        <v>5917</v>
      </c>
      <c r="G1692" t="s">
        <v>42</v>
      </c>
      <c r="H1692" t="s">
        <v>4084</v>
      </c>
      <c r="I1692" t="s">
        <v>194</v>
      </c>
      <c r="J1692" t="s">
        <v>5227</v>
      </c>
      <c r="K1692" t="str">
        <f>"6025061203"</f>
        <v>6025061203</v>
      </c>
      <c r="L1692" t="str">
        <f>""</f>
        <v/>
      </c>
      <c r="M1692" t="str">
        <f>"6025064145"</f>
        <v>6025064145</v>
      </c>
      <c r="N1692" t="str">
        <f>""</f>
        <v/>
      </c>
      <c r="O1692" t="s">
        <v>5910</v>
      </c>
      <c r="P1692" t="s">
        <v>5918</v>
      </c>
      <c r="Q1692" t="s">
        <v>5919</v>
      </c>
      <c r="R1692" t="s">
        <v>964</v>
      </c>
      <c r="S1692" t="s">
        <v>36</v>
      </c>
      <c r="T1692" t="str">
        <f>"85003"</f>
        <v>85003</v>
      </c>
      <c r="U1692" t="str">
        <f>""</f>
        <v/>
      </c>
      <c r="V1692" t="s">
        <v>5920</v>
      </c>
      <c r="X1692" t="s">
        <v>964</v>
      </c>
      <c r="Y1692" t="s">
        <v>36</v>
      </c>
      <c r="Z1692" t="str">
        <f>"85009"</f>
        <v>85009</v>
      </c>
      <c r="AA1692" t="str">
        <f>""</f>
        <v/>
      </c>
      <c r="AB1692" t="s">
        <v>265</v>
      </c>
    </row>
    <row r="1693" spans="1:28" x14ac:dyDescent="0.25">
      <c r="A1693">
        <v>7295</v>
      </c>
      <c r="B1693" t="str">
        <f>"072102000"</f>
        <v>072102000</v>
      </c>
      <c r="C1693" t="s">
        <v>5921</v>
      </c>
      <c r="D1693">
        <v>0</v>
      </c>
      <c r="E1693" t="str">
        <f>""</f>
        <v/>
      </c>
      <c r="G1693" t="s">
        <v>29</v>
      </c>
      <c r="H1693" t="s">
        <v>3597</v>
      </c>
      <c r="I1693" t="s">
        <v>5922</v>
      </c>
      <c r="J1693" t="s">
        <v>5923</v>
      </c>
      <c r="K1693" t="str">
        <f>"4806342010"</f>
        <v>4806342010</v>
      </c>
      <c r="L1693" t="str">
        <f>""</f>
        <v/>
      </c>
      <c r="M1693" t="str">
        <f>""</f>
        <v/>
      </c>
      <c r="N1693" t="str">
        <f>""</f>
        <v/>
      </c>
      <c r="O1693" t="s">
        <v>5924</v>
      </c>
      <c r="P1693" t="s">
        <v>5925</v>
      </c>
      <c r="Q1693" t="s">
        <v>5926</v>
      </c>
      <c r="R1693" t="s">
        <v>964</v>
      </c>
      <c r="S1693" t="s">
        <v>36</v>
      </c>
      <c r="T1693" t="str">
        <f>"85004"</f>
        <v>85004</v>
      </c>
      <c r="U1693" t="str">
        <f>""</f>
        <v/>
      </c>
      <c r="V1693" t="s">
        <v>5927</v>
      </c>
      <c r="X1693" t="s">
        <v>1465</v>
      </c>
      <c r="Y1693" t="s">
        <v>36</v>
      </c>
      <c r="Z1693" t="str">
        <f>"85254"</f>
        <v>85254</v>
      </c>
      <c r="AA1693" t="str">
        <f>""</f>
        <v/>
      </c>
      <c r="AB1693" t="s">
        <v>508</v>
      </c>
    </row>
    <row r="1694" spans="1:28" x14ac:dyDescent="0.25">
      <c r="A1694">
        <v>7295</v>
      </c>
      <c r="B1694" t="str">
        <f>"072102000"</f>
        <v>072102000</v>
      </c>
      <c r="C1694" t="s">
        <v>5921</v>
      </c>
      <c r="D1694">
        <v>7296</v>
      </c>
      <c r="E1694" t="str">
        <f>"072102001"</f>
        <v>072102001</v>
      </c>
      <c r="F1694" t="s">
        <v>5928</v>
      </c>
      <c r="G1694" t="s">
        <v>42</v>
      </c>
      <c r="H1694" t="s">
        <v>5929</v>
      </c>
      <c r="I1694" t="s">
        <v>5930</v>
      </c>
      <c r="J1694" t="s">
        <v>2665</v>
      </c>
      <c r="K1694" t="str">
        <f>"4809982920"</f>
        <v>4809982920</v>
      </c>
      <c r="L1694" t="str">
        <f>""</f>
        <v/>
      </c>
      <c r="M1694" t="str">
        <f>"4804431531"</f>
        <v>4804431531</v>
      </c>
      <c r="N1694" t="str">
        <f>""</f>
        <v/>
      </c>
      <c r="O1694" t="s">
        <v>5931</v>
      </c>
      <c r="P1694" t="s">
        <v>5925</v>
      </c>
      <c r="Q1694" t="s">
        <v>5926</v>
      </c>
      <c r="R1694" t="s">
        <v>964</v>
      </c>
      <c r="S1694" t="s">
        <v>36</v>
      </c>
      <c r="T1694" t="str">
        <f>"85004"</f>
        <v>85004</v>
      </c>
      <c r="U1694" t="str">
        <f>""</f>
        <v/>
      </c>
      <c r="V1694" t="s">
        <v>5932</v>
      </c>
      <c r="X1694" t="s">
        <v>1465</v>
      </c>
      <c r="Y1694" t="s">
        <v>36</v>
      </c>
      <c r="Z1694" t="str">
        <f>"85254"</f>
        <v>85254</v>
      </c>
      <c r="AA1694" t="str">
        <f>""</f>
        <v/>
      </c>
      <c r="AB1694" t="s">
        <v>508</v>
      </c>
    </row>
    <row r="1695" spans="1:28" x14ac:dyDescent="0.25">
      <c r="A1695">
        <v>7315</v>
      </c>
      <c r="B1695" t="str">
        <f>"072118000"</f>
        <v>072118000</v>
      </c>
      <c r="C1695" t="s">
        <v>5933</v>
      </c>
      <c r="D1695">
        <v>0</v>
      </c>
      <c r="E1695" t="str">
        <f>""</f>
        <v/>
      </c>
      <c r="G1695" t="s">
        <v>29</v>
      </c>
      <c r="H1695" t="s">
        <v>5934</v>
      </c>
      <c r="I1695" t="s">
        <v>5935</v>
      </c>
      <c r="J1695" t="s">
        <v>5936</v>
      </c>
      <c r="K1695" t="str">
        <f>"6029930050"</f>
        <v>6029930050</v>
      </c>
      <c r="L1695" t="str">
        <f>""</f>
        <v/>
      </c>
      <c r="M1695" t="str">
        <f>""</f>
        <v/>
      </c>
      <c r="N1695" t="str">
        <f>""</f>
        <v/>
      </c>
      <c r="O1695" t="s">
        <v>5937</v>
      </c>
      <c r="P1695" t="s">
        <v>5938</v>
      </c>
      <c r="R1695" t="s">
        <v>964</v>
      </c>
      <c r="S1695" t="s">
        <v>36</v>
      </c>
      <c r="T1695" t="str">
        <f>"85029"</f>
        <v>85029</v>
      </c>
      <c r="U1695" t="str">
        <f>""</f>
        <v/>
      </c>
      <c r="V1695" t="s">
        <v>5938</v>
      </c>
      <c r="X1695" t="s">
        <v>964</v>
      </c>
      <c r="Y1695" t="s">
        <v>36</v>
      </c>
      <c r="Z1695" t="str">
        <f>"85029"</f>
        <v>85029</v>
      </c>
      <c r="AA1695" t="str">
        <f>""</f>
        <v/>
      </c>
      <c r="AB1695" t="s">
        <v>156</v>
      </c>
    </row>
    <row r="1696" spans="1:28" x14ac:dyDescent="0.25">
      <c r="A1696">
        <v>7315</v>
      </c>
      <c r="B1696" t="str">
        <f>"072118000"</f>
        <v>072118000</v>
      </c>
      <c r="C1696" t="s">
        <v>5933</v>
      </c>
      <c r="D1696">
        <v>7316</v>
      </c>
      <c r="E1696" t="str">
        <f>"072118001"</f>
        <v>072118001</v>
      </c>
      <c r="F1696" t="s">
        <v>5933</v>
      </c>
      <c r="G1696" t="s">
        <v>42</v>
      </c>
      <c r="H1696" t="s">
        <v>1380</v>
      </c>
      <c r="I1696" t="s">
        <v>5939</v>
      </c>
      <c r="J1696" t="s">
        <v>5940</v>
      </c>
      <c r="K1696" t="str">
        <f>"6029930050"</f>
        <v>6029930050</v>
      </c>
      <c r="L1696" t="str">
        <f>""</f>
        <v/>
      </c>
      <c r="M1696" t="str">
        <f>""</f>
        <v/>
      </c>
      <c r="N1696" t="str">
        <f>""</f>
        <v/>
      </c>
      <c r="O1696" t="s">
        <v>5941</v>
      </c>
      <c r="P1696" t="s">
        <v>5938</v>
      </c>
      <c r="R1696" t="s">
        <v>964</v>
      </c>
      <c r="S1696" t="s">
        <v>36</v>
      </c>
      <c r="T1696" t="str">
        <f>"85029"</f>
        <v>85029</v>
      </c>
      <c r="U1696" t="str">
        <f>""</f>
        <v/>
      </c>
      <c r="V1696" t="s">
        <v>5938</v>
      </c>
      <c r="X1696" t="s">
        <v>964</v>
      </c>
      <c r="Y1696" t="s">
        <v>36</v>
      </c>
      <c r="Z1696" t="str">
        <f>"85029"</f>
        <v>85029</v>
      </c>
      <c r="AA1696" t="str">
        <f>""</f>
        <v/>
      </c>
      <c r="AB1696" t="s">
        <v>156</v>
      </c>
    </row>
    <row r="1697" spans="1:28" x14ac:dyDescent="0.25">
      <c r="A1697">
        <v>7320</v>
      </c>
      <c r="B1697" t="str">
        <f>"072122000"</f>
        <v>072122000</v>
      </c>
      <c r="C1697" t="s">
        <v>5942</v>
      </c>
      <c r="D1697">
        <v>0</v>
      </c>
      <c r="E1697" t="str">
        <f>""</f>
        <v/>
      </c>
      <c r="G1697" t="s">
        <v>29</v>
      </c>
      <c r="H1697" t="s">
        <v>5943</v>
      </c>
      <c r="I1697" t="s">
        <v>5944</v>
      </c>
      <c r="J1697" t="s">
        <v>5945</v>
      </c>
      <c r="K1697" t="str">
        <f>"4807333075"</f>
        <v>4807333075</v>
      </c>
      <c r="L1697" t="str">
        <f>"2839"</f>
        <v>2839</v>
      </c>
      <c r="M1697" t="str">
        <f>"4807333076"</f>
        <v>4807333076</v>
      </c>
      <c r="N1697" t="str">
        <f>""</f>
        <v/>
      </c>
      <c r="O1697" t="s">
        <v>5946</v>
      </c>
      <c r="P1697" t="s">
        <v>5947</v>
      </c>
      <c r="R1697" t="s">
        <v>979</v>
      </c>
      <c r="S1697" t="s">
        <v>36</v>
      </c>
      <c r="T1697" t="str">
        <f>"85203"</f>
        <v>85203</v>
      </c>
      <c r="U1697" t="str">
        <f>""</f>
        <v/>
      </c>
      <c r="V1697" t="s">
        <v>5947</v>
      </c>
      <c r="X1697" t="s">
        <v>979</v>
      </c>
      <c r="Y1697" t="s">
        <v>36</v>
      </c>
      <c r="Z1697" t="str">
        <f>"85203"</f>
        <v>85203</v>
      </c>
      <c r="AA1697" t="str">
        <f>""</f>
        <v/>
      </c>
      <c r="AB1697" t="s">
        <v>86</v>
      </c>
    </row>
    <row r="1698" spans="1:28" x14ac:dyDescent="0.25">
      <c r="A1698">
        <v>7320</v>
      </c>
      <c r="B1698" t="str">
        <f>"072122000"</f>
        <v>072122000</v>
      </c>
      <c r="C1698" t="s">
        <v>5942</v>
      </c>
      <c r="D1698">
        <v>7322</v>
      </c>
      <c r="E1698" t="str">
        <f>"072122002"</f>
        <v>072122002</v>
      </c>
      <c r="F1698" t="s">
        <v>5948</v>
      </c>
      <c r="G1698" t="s">
        <v>42</v>
      </c>
      <c r="H1698" t="s">
        <v>943</v>
      </c>
      <c r="I1698" t="s">
        <v>4730</v>
      </c>
      <c r="J1698" t="s">
        <v>5949</v>
      </c>
      <c r="K1698" t="str">
        <f>"4804615073"</f>
        <v>4804615073</v>
      </c>
      <c r="L1698" t="str">
        <f>""</f>
        <v/>
      </c>
      <c r="M1698" t="str">
        <f>"4806415165"</f>
        <v>4806415165</v>
      </c>
      <c r="N1698" t="str">
        <f>""</f>
        <v/>
      </c>
      <c r="O1698" t="s">
        <v>5950</v>
      </c>
      <c r="P1698" t="s">
        <v>5947</v>
      </c>
      <c r="R1698" t="s">
        <v>979</v>
      </c>
      <c r="S1698" t="s">
        <v>36</v>
      </c>
      <c r="T1698" t="str">
        <f>"85203"</f>
        <v>85203</v>
      </c>
      <c r="U1698" t="str">
        <f>"8033"</f>
        <v>8033</v>
      </c>
      <c r="V1698" t="s">
        <v>5951</v>
      </c>
      <c r="X1698" t="s">
        <v>979</v>
      </c>
      <c r="Y1698" t="s">
        <v>36</v>
      </c>
      <c r="Z1698" t="str">
        <f>"85213"</f>
        <v>85213</v>
      </c>
      <c r="AA1698" t="str">
        <f>""</f>
        <v/>
      </c>
      <c r="AB1698" t="s">
        <v>86</v>
      </c>
    </row>
    <row r="1699" spans="1:28" x14ac:dyDescent="0.25">
      <c r="A1699">
        <v>7320</v>
      </c>
      <c r="B1699" t="str">
        <f>"072122000"</f>
        <v>072122000</v>
      </c>
      <c r="C1699" t="s">
        <v>5942</v>
      </c>
      <c r="D1699">
        <v>80289</v>
      </c>
      <c r="E1699" t="str">
        <f>"072122006"</f>
        <v>072122006</v>
      </c>
      <c r="F1699" t="s">
        <v>5952</v>
      </c>
      <c r="G1699" t="s">
        <v>42</v>
      </c>
      <c r="H1699" t="s">
        <v>943</v>
      </c>
      <c r="I1699" t="s">
        <v>4730</v>
      </c>
      <c r="J1699" t="s">
        <v>5949</v>
      </c>
      <c r="K1699" t="str">
        <f>"4807333080"</f>
        <v>4807333080</v>
      </c>
      <c r="L1699" t="str">
        <f>""</f>
        <v/>
      </c>
      <c r="M1699" t="str">
        <f>"4807333081"</f>
        <v>4807333081</v>
      </c>
      <c r="N1699" t="str">
        <f>""</f>
        <v/>
      </c>
      <c r="O1699" t="s">
        <v>5950</v>
      </c>
      <c r="P1699" t="s">
        <v>5953</v>
      </c>
      <c r="R1699" t="s">
        <v>979</v>
      </c>
      <c r="S1699" t="s">
        <v>36</v>
      </c>
      <c r="T1699" t="str">
        <f>"85203"</f>
        <v>85203</v>
      </c>
      <c r="U1699" t="str">
        <f>""</f>
        <v/>
      </c>
      <c r="V1699" t="s">
        <v>5954</v>
      </c>
      <c r="X1699" t="s">
        <v>979</v>
      </c>
      <c r="Y1699" t="s">
        <v>36</v>
      </c>
      <c r="Z1699" t="str">
        <f>"85203"</f>
        <v>85203</v>
      </c>
      <c r="AA1699" t="str">
        <f>""</f>
        <v/>
      </c>
      <c r="AB1699" t="s">
        <v>86</v>
      </c>
    </row>
    <row r="1700" spans="1:28" x14ac:dyDescent="0.25">
      <c r="A1700">
        <v>7320</v>
      </c>
      <c r="B1700" t="str">
        <f>"072122000"</f>
        <v>072122000</v>
      </c>
      <c r="C1700" t="s">
        <v>5942</v>
      </c>
      <c r="D1700">
        <v>80290</v>
      </c>
      <c r="E1700" t="str">
        <f>"072122007"</f>
        <v>072122007</v>
      </c>
      <c r="F1700" t="s">
        <v>5955</v>
      </c>
      <c r="G1700" t="s">
        <v>42</v>
      </c>
      <c r="H1700" t="s">
        <v>943</v>
      </c>
      <c r="I1700" t="s">
        <v>4730</v>
      </c>
      <c r="J1700" t="s">
        <v>5949</v>
      </c>
      <c r="K1700" t="str">
        <f>"4807333080"</f>
        <v>4807333080</v>
      </c>
      <c r="L1700" t="str">
        <f>""</f>
        <v/>
      </c>
      <c r="M1700" t="str">
        <f>"4807333081"</f>
        <v>4807333081</v>
      </c>
      <c r="N1700" t="str">
        <f>""</f>
        <v/>
      </c>
      <c r="O1700" t="s">
        <v>5950</v>
      </c>
      <c r="P1700" t="s">
        <v>5947</v>
      </c>
      <c r="R1700" t="s">
        <v>979</v>
      </c>
      <c r="S1700" t="s">
        <v>36</v>
      </c>
      <c r="T1700" t="str">
        <f>"85203"</f>
        <v>85203</v>
      </c>
      <c r="U1700" t="str">
        <f>""</f>
        <v/>
      </c>
      <c r="V1700" t="s">
        <v>5956</v>
      </c>
      <c r="X1700" t="s">
        <v>979</v>
      </c>
      <c r="Y1700" t="s">
        <v>36</v>
      </c>
      <c r="Z1700" t="str">
        <f>"85203"</f>
        <v>85203</v>
      </c>
      <c r="AA1700" t="str">
        <f>"8033"</f>
        <v>8033</v>
      </c>
      <c r="AB1700" t="s">
        <v>86</v>
      </c>
    </row>
    <row r="1701" spans="1:28" x14ac:dyDescent="0.25">
      <c r="A1701">
        <v>7332</v>
      </c>
      <c r="B1701" t="str">
        <f>"072135000"</f>
        <v>072135000</v>
      </c>
      <c r="C1701" t="s">
        <v>5957</v>
      </c>
      <c r="D1701">
        <v>0</v>
      </c>
      <c r="E1701" t="str">
        <f>""</f>
        <v/>
      </c>
      <c r="G1701" t="s">
        <v>29</v>
      </c>
      <c r="H1701" t="s">
        <v>5958</v>
      </c>
      <c r="I1701" t="s">
        <v>5959</v>
      </c>
      <c r="J1701" t="s">
        <v>202</v>
      </c>
      <c r="K1701" t="str">
        <f>"4809453302"</f>
        <v>4809453302</v>
      </c>
      <c r="L1701" t="str">
        <f>"139"</f>
        <v>139</v>
      </c>
      <c r="M1701" t="str">
        <f>"4809459308"</f>
        <v>4809459308</v>
      </c>
      <c r="N1701" t="str">
        <f>""</f>
        <v/>
      </c>
      <c r="O1701" t="s">
        <v>5960</v>
      </c>
      <c r="P1701" t="s">
        <v>5961</v>
      </c>
      <c r="R1701" t="s">
        <v>1465</v>
      </c>
      <c r="S1701" t="s">
        <v>36</v>
      </c>
      <c r="T1701" t="str">
        <f>"85257"</f>
        <v>85257</v>
      </c>
      <c r="U1701" t="str">
        <f>"3708"</f>
        <v>3708</v>
      </c>
      <c r="V1701" t="s">
        <v>5962</v>
      </c>
      <c r="X1701" t="s">
        <v>1465</v>
      </c>
      <c r="Y1701" t="s">
        <v>36</v>
      </c>
      <c r="Z1701" t="str">
        <f>"85257"</f>
        <v>85257</v>
      </c>
      <c r="AA1701" t="str">
        <f>"3708"</f>
        <v>3708</v>
      </c>
      <c r="AB1701" t="s">
        <v>2345</v>
      </c>
    </row>
    <row r="1702" spans="1:28" x14ac:dyDescent="0.25">
      <c r="A1702">
        <v>7332</v>
      </c>
      <c r="B1702" t="str">
        <f>"072135000"</f>
        <v>072135000</v>
      </c>
      <c r="C1702" t="s">
        <v>5957</v>
      </c>
      <c r="D1702">
        <v>7333</v>
      </c>
      <c r="E1702" t="str">
        <f>"072135001"</f>
        <v>072135001</v>
      </c>
      <c r="F1702" t="s">
        <v>5957</v>
      </c>
      <c r="G1702" t="s">
        <v>42</v>
      </c>
      <c r="H1702" t="s">
        <v>5958</v>
      </c>
      <c r="I1702" t="s">
        <v>5959</v>
      </c>
      <c r="J1702" t="s">
        <v>202</v>
      </c>
      <c r="K1702" t="str">
        <f>"4809453302"</f>
        <v>4809453302</v>
      </c>
      <c r="L1702" t="str">
        <f>"139"</f>
        <v>139</v>
      </c>
      <c r="M1702" t="str">
        <f>"4809459308"</f>
        <v>4809459308</v>
      </c>
      <c r="N1702" t="str">
        <f>""</f>
        <v/>
      </c>
      <c r="O1702" t="s">
        <v>5960</v>
      </c>
      <c r="P1702" t="s">
        <v>5963</v>
      </c>
      <c r="R1702" t="s">
        <v>1465</v>
      </c>
      <c r="S1702" t="s">
        <v>36</v>
      </c>
      <c r="T1702" t="str">
        <f>"85257"</f>
        <v>85257</v>
      </c>
      <c r="U1702" t="str">
        <f>"3708"</f>
        <v>3708</v>
      </c>
      <c r="V1702" t="s">
        <v>5962</v>
      </c>
      <c r="X1702" t="s">
        <v>1465</v>
      </c>
      <c r="Y1702" t="s">
        <v>36</v>
      </c>
      <c r="Z1702" t="str">
        <f>"85257"</f>
        <v>85257</v>
      </c>
      <c r="AA1702" t="str">
        <f>"3708"</f>
        <v>3708</v>
      </c>
      <c r="AB1702" t="s">
        <v>2345</v>
      </c>
    </row>
    <row r="1703" spans="1:28" x14ac:dyDescent="0.25">
      <c r="A1703">
        <v>7347</v>
      </c>
      <c r="B1703" t="str">
        <f>"072146000"</f>
        <v>072146000</v>
      </c>
      <c r="C1703" t="s">
        <v>5964</v>
      </c>
      <c r="D1703">
        <v>0</v>
      </c>
      <c r="E1703" t="str">
        <f>""</f>
        <v/>
      </c>
      <c r="G1703" t="s">
        <v>29</v>
      </c>
      <c r="H1703" t="s">
        <v>5666</v>
      </c>
      <c r="I1703" t="s">
        <v>5965</v>
      </c>
      <c r="J1703" t="s">
        <v>5966</v>
      </c>
      <c r="K1703" t="str">
        <f>"6309072400"</f>
        <v>6309072400</v>
      </c>
      <c r="L1703" t="str">
        <f>""</f>
        <v/>
      </c>
      <c r="M1703" t="str">
        <f>""</f>
        <v/>
      </c>
      <c r="N1703" t="str">
        <f>""</f>
        <v/>
      </c>
      <c r="O1703" t="s">
        <v>5967</v>
      </c>
      <c r="P1703" t="s">
        <v>5968</v>
      </c>
      <c r="R1703" t="s">
        <v>4738</v>
      </c>
      <c r="S1703" t="s">
        <v>36</v>
      </c>
      <c r="T1703" t="str">
        <f>"85122"</f>
        <v>85122</v>
      </c>
      <c r="U1703" t="str">
        <f>""</f>
        <v/>
      </c>
      <c r="V1703" t="s">
        <v>5968</v>
      </c>
      <c r="X1703" t="s">
        <v>4738</v>
      </c>
      <c r="Y1703" t="s">
        <v>36</v>
      </c>
      <c r="Z1703" t="str">
        <f>"85122"</f>
        <v>85122</v>
      </c>
      <c r="AA1703" t="str">
        <f>""</f>
        <v/>
      </c>
      <c r="AB1703" t="s">
        <v>4726</v>
      </c>
    </row>
    <row r="1704" spans="1:28" x14ac:dyDescent="0.25">
      <c r="A1704">
        <v>7347</v>
      </c>
      <c r="B1704" t="str">
        <f>"072146000"</f>
        <v>072146000</v>
      </c>
      <c r="C1704" t="s">
        <v>5964</v>
      </c>
      <c r="D1704">
        <v>7349</v>
      </c>
      <c r="E1704" t="str">
        <f>"072146002"</f>
        <v>072146002</v>
      </c>
      <c r="F1704" t="s">
        <v>5969</v>
      </c>
      <c r="G1704" t="s">
        <v>42</v>
      </c>
      <c r="H1704" t="s">
        <v>403</v>
      </c>
      <c r="I1704" t="s">
        <v>5970</v>
      </c>
      <c r="J1704" t="s">
        <v>5971</v>
      </c>
      <c r="K1704" t="str">
        <f>"5204212389"</f>
        <v>5204212389</v>
      </c>
      <c r="L1704" t="str">
        <f>""</f>
        <v/>
      </c>
      <c r="M1704" t="str">
        <f>"6022482937"</f>
        <v>6022482937</v>
      </c>
      <c r="N1704" t="str">
        <f>""</f>
        <v/>
      </c>
      <c r="O1704" t="s">
        <v>5972</v>
      </c>
      <c r="P1704" t="s">
        <v>5968</v>
      </c>
      <c r="R1704" t="s">
        <v>4738</v>
      </c>
      <c r="S1704" t="s">
        <v>36</v>
      </c>
      <c r="T1704" t="str">
        <f>"85222"</f>
        <v>85222</v>
      </c>
      <c r="U1704" t="str">
        <f>""</f>
        <v/>
      </c>
      <c r="V1704" t="s">
        <v>5968</v>
      </c>
      <c r="X1704" t="s">
        <v>4738</v>
      </c>
      <c r="Y1704" t="s">
        <v>36</v>
      </c>
      <c r="Z1704" t="str">
        <f>"85222"</f>
        <v>85222</v>
      </c>
      <c r="AA1704" t="str">
        <f>""</f>
        <v/>
      </c>
      <c r="AB1704" t="s">
        <v>4726</v>
      </c>
    </row>
    <row r="1705" spans="1:28" x14ac:dyDescent="0.25">
      <c r="A1705">
        <v>7351</v>
      </c>
      <c r="B1705" t="str">
        <f>"072155000"</f>
        <v>072155000</v>
      </c>
      <c r="C1705" t="s">
        <v>5973</v>
      </c>
      <c r="D1705">
        <v>0</v>
      </c>
      <c r="E1705" t="str">
        <f>""</f>
        <v/>
      </c>
      <c r="G1705" t="s">
        <v>29</v>
      </c>
      <c r="H1705" t="s">
        <v>3636</v>
      </c>
      <c r="I1705" t="s">
        <v>5974</v>
      </c>
      <c r="J1705" t="s">
        <v>5975</v>
      </c>
      <c r="K1705" t="str">
        <f>"6022565311"</f>
        <v>6022565311</v>
      </c>
      <c r="L1705" t="str">
        <f>""</f>
        <v/>
      </c>
      <c r="M1705" t="str">
        <f>"6022565312"</f>
        <v>6022565312</v>
      </c>
      <c r="N1705" t="str">
        <f>""</f>
        <v/>
      </c>
      <c r="O1705" t="s">
        <v>5976</v>
      </c>
      <c r="P1705" t="s">
        <v>5977</v>
      </c>
      <c r="R1705" t="s">
        <v>964</v>
      </c>
      <c r="S1705" t="s">
        <v>36</v>
      </c>
      <c r="T1705" t="str">
        <f>"85006"</f>
        <v>85006</v>
      </c>
      <c r="U1705" t="str">
        <f>""</f>
        <v/>
      </c>
      <c r="V1705" t="s">
        <v>5977</v>
      </c>
      <c r="X1705" t="s">
        <v>964</v>
      </c>
      <c r="Y1705" t="s">
        <v>36</v>
      </c>
      <c r="Z1705" t="str">
        <f>"85006"</f>
        <v>85006</v>
      </c>
      <c r="AA1705" t="str">
        <f>""</f>
        <v/>
      </c>
      <c r="AB1705" t="s">
        <v>56</v>
      </c>
    </row>
    <row r="1706" spans="1:28" x14ac:dyDescent="0.25">
      <c r="A1706">
        <v>7351</v>
      </c>
      <c r="B1706" t="str">
        <f>"072155000"</f>
        <v>072155000</v>
      </c>
      <c r="C1706" t="s">
        <v>5973</v>
      </c>
      <c r="D1706">
        <v>7352</v>
      </c>
      <c r="E1706" t="str">
        <f>"072155001"</f>
        <v>072155001</v>
      </c>
      <c r="F1706" t="s">
        <v>5973</v>
      </c>
      <c r="G1706" t="s">
        <v>42</v>
      </c>
      <c r="H1706" t="s">
        <v>320</v>
      </c>
      <c r="I1706" t="s">
        <v>3000</v>
      </c>
      <c r="J1706" t="s">
        <v>5978</v>
      </c>
      <c r="K1706" t="str">
        <f>"6022565327"</f>
        <v>6022565327</v>
      </c>
      <c r="L1706" t="str">
        <f>""</f>
        <v/>
      </c>
      <c r="M1706" t="str">
        <f>"6022565301"</f>
        <v>6022565301</v>
      </c>
      <c r="N1706" t="str">
        <f>""</f>
        <v/>
      </c>
      <c r="O1706" t="s">
        <v>5979</v>
      </c>
      <c r="P1706" t="s">
        <v>5980</v>
      </c>
      <c r="R1706" t="s">
        <v>964</v>
      </c>
      <c r="S1706" t="s">
        <v>36</v>
      </c>
      <c r="T1706" t="str">
        <f>"85006"</f>
        <v>85006</v>
      </c>
      <c r="U1706" t="str">
        <f>""</f>
        <v/>
      </c>
      <c r="V1706" t="s">
        <v>5980</v>
      </c>
      <c r="X1706" t="s">
        <v>964</v>
      </c>
      <c r="Y1706" t="s">
        <v>36</v>
      </c>
      <c r="Z1706" t="str">
        <f>"85006"</f>
        <v>85006</v>
      </c>
      <c r="AA1706" t="str">
        <f>""</f>
        <v/>
      </c>
      <c r="AB1706" t="s">
        <v>56</v>
      </c>
    </row>
    <row r="1707" spans="1:28" x14ac:dyDescent="0.25">
      <c r="A1707">
        <v>7355</v>
      </c>
      <c r="B1707" t="str">
        <f>"072164000"</f>
        <v>072164000</v>
      </c>
      <c r="C1707" t="s">
        <v>5981</v>
      </c>
      <c r="D1707">
        <v>0</v>
      </c>
      <c r="E1707" t="str">
        <f>""</f>
        <v/>
      </c>
      <c r="G1707" t="s">
        <v>29</v>
      </c>
      <c r="H1707" t="s">
        <v>5982</v>
      </c>
      <c r="I1707" t="s">
        <v>5983</v>
      </c>
      <c r="J1707" t="s">
        <v>486</v>
      </c>
      <c r="K1707" t="str">
        <f>"6029957366"</f>
        <v>6029957366</v>
      </c>
      <c r="L1707" t="str">
        <f>"133"</f>
        <v>133</v>
      </c>
      <c r="M1707" t="str">
        <f>"6029972636"</f>
        <v>6029972636</v>
      </c>
      <c r="N1707" t="str">
        <f>""</f>
        <v/>
      </c>
      <c r="O1707" t="s">
        <v>5984</v>
      </c>
      <c r="P1707" t="s">
        <v>5985</v>
      </c>
      <c r="Q1707" t="s">
        <v>5981</v>
      </c>
      <c r="R1707" t="s">
        <v>964</v>
      </c>
      <c r="S1707" t="s">
        <v>36</v>
      </c>
      <c r="T1707" t="str">
        <f>"85051"</f>
        <v>85051</v>
      </c>
      <c r="U1707" t="str">
        <f>""</f>
        <v/>
      </c>
      <c r="V1707" t="s">
        <v>5985</v>
      </c>
      <c r="W1707" t="s">
        <v>5981</v>
      </c>
      <c r="X1707" t="s">
        <v>964</v>
      </c>
      <c r="Y1707" t="s">
        <v>36</v>
      </c>
      <c r="Z1707" t="str">
        <f>"85051"</f>
        <v>85051</v>
      </c>
      <c r="AA1707" t="str">
        <f>""</f>
        <v/>
      </c>
      <c r="AB1707" t="s">
        <v>249</v>
      </c>
    </row>
    <row r="1708" spans="1:28" x14ac:dyDescent="0.25">
      <c r="A1708">
        <v>7355</v>
      </c>
      <c r="B1708" t="str">
        <f>"072164000"</f>
        <v>072164000</v>
      </c>
      <c r="C1708" t="s">
        <v>5981</v>
      </c>
      <c r="D1708">
        <v>7356</v>
      </c>
      <c r="E1708" t="str">
        <f>"072164001"</f>
        <v>072164001</v>
      </c>
      <c r="F1708" t="s">
        <v>5986</v>
      </c>
      <c r="G1708" t="s">
        <v>42</v>
      </c>
      <c r="H1708" t="s">
        <v>1827</v>
      </c>
      <c r="I1708" t="s">
        <v>5987</v>
      </c>
      <c r="J1708" t="s">
        <v>5988</v>
      </c>
      <c r="K1708" t="str">
        <f>"6029957366"</f>
        <v>6029957366</v>
      </c>
      <c r="L1708" t="str">
        <f>"163"</f>
        <v>163</v>
      </c>
      <c r="M1708" t="str">
        <f>""</f>
        <v/>
      </c>
      <c r="N1708" t="str">
        <f>""</f>
        <v/>
      </c>
      <c r="O1708" t="s">
        <v>5989</v>
      </c>
      <c r="P1708" t="s">
        <v>5990</v>
      </c>
      <c r="Q1708" t="s">
        <v>5981</v>
      </c>
      <c r="R1708" t="s">
        <v>964</v>
      </c>
      <c r="S1708" t="s">
        <v>36</v>
      </c>
      <c r="T1708" t="str">
        <f>"85051"</f>
        <v>85051</v>
      </c>
      <c r="U1708" t="str">
        <f>""</f>
        <v/>
      </c>
      <c r="V1708" t="s">
        <v>5990</v>
      </c>
      <c r="W1708" t="s">
        <v>5981</v>
      </c>
      <c r="X1708" t="s">
        <v>964</v>
      </c>
      <c r="Y1708" t="s">
        <v>36</v>
      </c>
      <c r="Z1708" t="str">
        <f>"85051"</f>
        <v>85051</v>
      </c>
      <c r="AA1708" t="str">
        <f>""</f>
        <v/>
      </c>
      <c r="AB1708" t="s">
        <v>249</v>
      </c>
    </row>
    <row r="1709" spans="1:28" x14ac:dyDescent="0.25">
      <c r="A1709">
        <v>7909</v>
      </c>
      <c r="B1709" t="str">
        <f>"102133000"</f>
        <v>102133000</v>
      </c>
      <c r="C1709" t="s">
        <v>5991</v>
      </c>
      <c r="D1709">
        <v>0</v>
      </c>
      <c r="E1709" t="str">
        <f>""</f>
        <v/>
      </c>
      <c r="G1709" t="s">
        <v>29</v>
      </c>
      <c r="H1709" t="s">
        <v>752</v>
      </c>
      <c r="I1709" t="s">
        <v>5992</v>
      </c>
      <c r="J1709" t="s">
        <v>5993</v>
      </c>
      <c r="K1709" t="str">
        <f>"5208388841"</f>
        <v>5208388841</v>
      </c>
      <c r="L1709" t="str">
        <f>""</f>
        <v/>
      </c>
      <c r="M1709" t="str">
        <f>"5208385550"</f>
        <v>5208385550</v>
      </c>
      <c r="N1709" t="str">
        <f>""</f>
        <v/>
      </c>
      <c r="O1709" t="s">
        <v>5994</v>
      </c>
      <c r="P1709" t="s">
        <v>5995</v>
      </c>
      <c r="R1709" t="s">
        <v>4169</v>
      </c>
      <c r="S1709" t="s">
        <v>36</v>
      </c>
      <c r="T1709" t="str">
        <f>"85705"</f>
        <v>85705</v>
      </c>
      <c r="U1709" t="str">
        <f>"3708"</f>
        <v>3708</v>
      </c>
      <c r="V1709" t="s">
        <v>5995</v>
      </c>
      <c r="X1709" t="s">
        <v>4169</v>
      </c>
      <c r="Y1709" t="s">
        <v>36</v>
      </c>
      <c r="Z1709" t="str">
        <f>"85705"</f>
        <v>85705</v>
      </c>
      <c r="AA1709" t="str">
        <f>"3708"</f>
        <v>3708</v>
      </c>
      <c r="AB1709" t="s">
        <v>5578</v>
      </c>
    </row>
    <row r="1710" spans="1:28" x14ac:dyDescent="0.25">
      <c r="A1710">
        <v>7909</v>
      </c>
      <c r="B1710" t="str">
        <f>"102133000"</f>
        <v>102133000</v>
      </c>
      <c r="C1710" t="s">
        <v>5991</v>
      </c>
      <c r="D1710">
        <v>80448</v>
      </c>
      <c r="E1710" t="str">
        <f>"102133009"</f>
        <v>102133009</v>
      </c>
      <c r="F1710" t="s">
        <v>3297</v>
      </c>
      <c r="G1710" t="s">
        <v>42</v>
      </c>
      <c r="H1710" t="s">
        <v>752</v>
      </c>
      <c r="I1710" t="s">
        <v>5992</v>
      </c>
      <c r="J1710" t="s">
        <v>5996</v>
      </c>
      <c r="K1710" t="str">
        <f>"5208385541"</f>
        <v>5208385541</v>
      </c>
      <c r="L1710" t="str">
        <f>""</f>
        <v/>
      </c>
      <c r="M1710" t="str">
        <f>"5208385550"</f>
        <v>5208385550</v>
      </c>
      <c r="N1710" t="str">
        <f>""</f>
        <v/>
      </c>
      <c r="O1710" t="s">
        <v>5994</v>
      </c>
      <c r="P1710" t="s">
        <v>5995</v>
      </c>
      <c r="R1710" t="s">
        <v>4169</v>
      </c>
      <c r="S1710" t="s">
        <v>36</v>
      </c>
      <c r="T1710" t="str">
        <f>"85705"</f>
        <v>85705</v>
      </c>
      <c r="U1710" t="str">
        <f>"3708"</f>
        <v>3708</v>
      </c>
      <c r="V1710" t="s">
        <v>5997</v>
      </c>
      <c r="X1710" t="s">
        <v>4169</v>
      </c>
      <c r="Y1710" t="s">
        <v>36</v>
      </c>
      <c r="Z1710" t="str">
        <f>"85711"</f>
        <v>85711</v>
      </c>
      <c r="AA1710" t="str">
        <f>""</f>
        <v/>
      </c>
      <c r="AB1710" t="s">
        <v>5578</v>
      </c>
    </row>
    <row r="1711" spans="1:28" x14ac:dyDescent="0.25">
      <c r="A1711">
        <v>7909</v>
      </c>
      <c r="B1711" t="str">
        <f>"102133000"</f>
        <v>102133000</v>
      </c>
      <c r="C1711" t="s">
        <v>5991</v>
      </c>
      <c r="D1711">
        <v>80449</v>
      </c>
      <c r="E1711" t="str">
        <f>"102133010"</f>
        <v>102133010</v>
      </c>
      <c r="F1711" t="s">
        <v>5998</v>
      </c>
      <c r="G1711" t="s">
        <v>42</v>
      </c>
      <c r="H1711" t="s">
        <v>752</v>
      </c>
      <c r="I1711" t="s">
        <v>5992</v>
      </c>
      <c r="J1711" t="s">
        <v>5996</v>
      </c>
      <c r="K1711" t="str">
        <f>"5208385541"</f>
        <v>5208385541</v>
      </c>
      <c r="L1711" t="str">
        <f>""</f>
        <v/>
      </c>
      <c r="M1711" t="str">
        <f>"5208385550"</f>
        <v>5208385550</v>
      </c>
      <c r="N1711" t="str">
        <f>""</f>
        <v/>
      </c>
      <c r="O1711" t="s">
        <v>5994</v>
      </c>
      <c r="P1711" t="s">
        <v>5999</v>
      </c>
      <c r="R1711" t="s">
        <v>4169</v>
      </c>
      <c r="S1711" t="s">
        <v>36</v>
      </c>
      <c r="T1711" t="str">
        <f>"85705"</f>
        <v>85705</v>
      </c>
      <c r="U1711" t="str">
        <f>""</f>
        <v/>
      </c>
      <c r="V1711" t="s">
        <v>6000</v>
      </c>
      <c r="X1711" t="s">
        <v>4169</v>
      </c>
      <c r="Y1711" t="s">
        <v>36</v>
      </c>
      <c r="Z1711" t="str">
        <f>"85719"</f>
        <v>85719</v>
      </c>
      <c r="AA1711" t="str">
        <f>""</f>
        <v/>
      </c>
      <c r="AB1711" t="s">
        <v>5578</v>
      </c>
    </row>
    <row r="1712" spans="1:28" x14ac:dyDescent="0.25">
      <c r="A1712">
        <v>7909</v>
      </c>
      <c r="B1712" t="str">
        <f>"102133000"</f>
        <v>102133000</v>
      </c>
      <c r="C1712" t="s">
        <v>5991</v>
      </c>
      <c r="D1712">
        <v>80450</v>
      </c>
      <c r="E1712" t="str">
        <f>"102133011"</f>
        <v>102133011</v>
      </c>
      <c r="F1712" t="s">
        <v>6001</v>
      </c>
      <c r="G1712" t="s">
        <v>42</v>
      </c>
      <c r="H1712" t="s">
        <v>752</v>
      </c>
      <c r="I1712" t="s">
        <v>5992</v>
      </c>
      <c r="J1712" t="s">
        <v>5996</v>
      </c>
      <c r="K1712" t="str">
        <f>"5208385541"</f>
        <v>5208385541</v>
      </c>
      <c r="L1712" t="str">
        <f>""</f>
        <v/>
      </c>
      <c r="M1712" t="str">
        <f>"5208385550"</f>
        <v>5208385550</v>
      </c>
      <c r="N1712" t="str">
        <f>""</f>
        <v/>
      </c>
      <c r="O1712" t="s">
        <v>5994</v>
      </c>
      <c r="P1712" t="s">
        <v>6002</v>
      </c>
      <c r="R1712" t="s">
        <v>4169</v>
      </c>
      <c r="S1712" t="s">
        <v>36</v>
      </c>
      <c r="T1712" t="str">
        <f>"85717"</f>
        <v>85717</v>
      </c>
      <c r="U1712" t="str">
        <f>"3708"</f>
        <v>3708</v>
      </c>
      <c r="V1712" t="s">
        <v>6003</v>
      </c>
      <c r="X1712" t="s">
        <v>4169</v>
      </c>
      <c r="Y1712" t="s">
        <v>36</v>
      </c>
      <c r="Z1712" t="str">
        <f>"85712"</f>
        <v>85712</v>
      </c>
      <c r="AA1712" t="str">
        <f>""</f>
        <v/>
      </c>
      <c r="AB1712" t="s">
        <v>5578</v>
      </c>
    </row>
    <row r="1713" spans="1:28" x14ac:dyDescent="0.25">
      <c r="A1713">
        <v>8477</v>
      </c>
      <c r="B1713" t="str">
        <f>"014001000"</f>
        <v>014001000</v>
      </c>
      <c r="C1713" t="s">
        <v>6004</v>
      </c>
      <c r="D1713">
        <v>0</v>
      </c>
      <c r="E1713" t="str">
        <f>""</f>
        <v/>
      </c>
      <c r="G1713" t="s">
        <v>29</v>
      </c>
      <c r="H1713" t="s">
        <v>6005</v>
      </c>
      <c r="I1713" t="s">
        <v>6006</v>
      </c>
      <c r="J1713" t="s">
        <v>4820</v>
      </c>
      <c r="K1713" t="str">
        <f>"9287283725"</f>
        <v>9287283725</v>
      </c>
      <c r="L1713" t="str">
        <f>""</f>
        <v/>
      </c>
      <c r="M1713" t="str">
        <f>"9287283717"</f>
        <v>9287283717</v>
      </c>
      <c r="N1713" t="str">
        <f>""</f>
        <v/>
      </c>
      <c r="O1713" t="s">
        <v>6007</v>
      </c>
      <c r="P1713" t="s">
        <v>6008</v>
      </c>
      <c r="R1713" t="s">
        <v>137</v>
      </c>
      <c r="S1713" t="s">
        <v>36</v>
      </c>
      <c r="T1713" t="str">
        <f>"86503"</f>
        <v>86503</v>
      </c>
      <c r="U1713" t="str">
        <f>""</f>
        <v/>
      </c>
      <c r="V1713" t="s">
        <v>6009</v>
      </c>
      <c r="X1713" t="s">
        <v>137</v>
      </c>
      <c r="Y1713" t="s">
        <v>36</v>
      </c>
      <c r="Z1713" t="str">
        <f>"86503"</f>
        <v>86503</v>
      </c>
      <c r="AA1713" t="str">
        <f>""</f>
        <v/>
      </c>
      <c r="AB1713" t="s">
        <v>124</v>
      </c>
    </row>
    <row r="1714" spans="1:28" x14ac:dyDescent="0.25">
      <c r="A1714">
        <v>8477</v>
      </c>
      <c r="B1714" t="str">
        <f>"014001000"</f>
        <v>014001000</v>
      </c>
      <c r="C1714" t="s">
        <v>6004</v>
      </c>
      <c r="D1714">
        <v>78994</v>
      </c>
      <c r="E1714" t="str">
        <f>"014001201"</f>
        <v>014001201</v>
      </c>
      <c r="F1714" t="s">
        <v>6010</v>
      </c>
      <c r="G1714" t="s">
        <v>42</v>
      </c>
      <c r="H1714" t="s">
        <v>6005</v>
      </c>
      <c r="I1714" t="s">
        <v>6006</v>
      </c>
      <c r="J1714" t="s">
        <v>4820</v>
      </c>
      <c r="K1714" t="str">
        <f>"9287283525"</f>
        <v>9287283525</v>
      </c>
      <c r="L1714" t="str">
        <f>""</f>
        <v/>
      </c>
      <c r="M1714" t="str">
        <f>"9287283502"</f>
        <v>9287283502</v>
      </c>
      <c r="N1714" t="str">
        <f>""</f>
        <v/>
      </c>
      <c r="O1714" t="s">
        <v>6011</v>
      </c>
      <c r="P1714" t="s">
        <v>6008</v>
      </c>
      <c r="R1714" t="s">
        <v>137</v>
      </c>
      <c r="S1714" t="s">
        <v>36</v>
      </c>
      <c r="T1714" t="str">
        <f>"86503"</f>
        <v>86503</v>
      </c>
      <c r="U1714" t="str">
        <f>""</f>
        <v/>
      </c>
      <c r="V1714" t="s">
        <v>6012</v>
      </c>
      <c r="X1714" t="s">
        <v>137</v>
      </c>
      <c r="Y1714" t="s">
        <v>36</v>
      </c>
      <c r="Z1714" t="str">
        <f>"86503"</f>
        <v>86503</v>
      </c>
      <c r="AA1714" t="str">
        <f>""</f>
        <v/>
      </c>
      <c r="AB1714" t="s">
        <v>124</v>
      </c>
    </row>
    <row r="1715" spans="1:28" x14ac:dyDescent="0.25">
      <c r="A1715">
        <v>8477</v>
      </c>
      <c r="B1715" t="str">
        <f>"014001000"</f>
        <v>014001000</v>
      </c>
      <c r="C1715" t="s">
        <v>6004</v>
      </c>
      <c r="D1715">
        <v>87915</v>
      </c>
      <c r="E1715" t="str">
        <f>"014001202"</f>
        <v>014001202</v>
      </c>
      <c r="F1715" t="s">
        <v>6013</v>
      </c>
      <c r="G1715" t="s">
        <v>42</v>
      </c>
      <c r="H1715" t="s">
        <v>6005</v>
      </c>
      <c r="I1715" t="s">
        <v>6006</v>
      </c>
      <c r="J1715" t="s">
        <v>6014</v>
      </c>
      <c r="K1715" t="str">
        <f>"9287283725"</f>
        <v>9287283725</v>
      </c>
      <c r="L1715" t="str">
        <f>""</f>
        <v/>
      </c>
      <c r="M1715" t="str">
        <f>"9287283617"</f>
        <v>9287283617</v>
      </c>
      <c r="N1715" t="str">
        <f>""</f>
        <v/>
      </c>
      <c r="O1715" t="s">
        <v>6011</v>
      </c>
      <c r="P1715" t="s">
        <v>6015</v>
      </c>
      <c r="Q1715" t="s">
        <v>6008</v>
      </c>
      <c r="R1715" t="s">
        <v>137</v>
      </c>
      <c r="S1715" t="s">
        <v>36</v>
      </c>
      <c r="T1715" t="str">
        <f>"86503"</f>
        <v>86503</v>
      </c>
      <c r="U1715" t="str">
        <f>""</f>
        <v/>
      </c>
      <c r="V1715" t="s">
        <v>6015</v>
      </c>
      <c r="W1715" t="s">
        <v>6008</v>
      </c>
      <c r="X1715" t="s">
        <v>137</v>
      </c>
      <c r="Y1715" t="s">
        <v>36</v>
      </c>
      <c r="Z1715" t="str">
        <f>"86503"</f>
        <v>86503</v>
      </c>
      <c r="AA1715" t="str">
        <f>""</f>
        <v/>
      </c>
      <c r="AB1715" t="s">
        <v>124</v>
      </c>
    </row>
    <row r="1716" spans="1:28" x14ac:dyDescent="0.25">
      <c r="A1716">
        <v>8477</v>
      </c>
      <c r="B1716" t="str">
        <f>"014001000"</f>
        <v>014001000</v>
      </c>
      <c r="C1716" t="s">
        <v>6004</v>
      </c>
      <c r="D1716">
        <v>87916</v>
      </c>
      <c r="E1716" t="str">
        <f>"014001203"</f>
        <v>014001203</v>
      </c>
      <c r="F1716" t="s">
        <v>6016</v>
      </c>
      <c r="G1716" t="s">
        <v>42</v>
      </c>
      <c r="H1716" t="s">
        <v>6005</v>
      </c>
      <c r="I1716" t="s">
        <v>6006</v>
      </c>
      <c r="J1716" t="s">
        <v>4820</v>
      </c>
      <c r="K1716" t="str">
        <f>"9237283725"</f>
        <v>9237283725</v>
      </c>
      <c r="L1716" t="str">
        <f>""</f>
        <v/>
      </c>
      <c r="M1716" t="str">
        <f>"9287283617"</f>
        <v>9287283617</v>
      </c>
      <c r="N1716" t="str">
        <f>""</f>
        <v/>
      </c>
      <c r="O1716" t="s">
        <v>6011</v>
      </c>
      <c r="P1716" t="s">
        <v>6017</v>
      </c>
      <c r="Q1716" t="s">
        <v>6008</v>
      </c>
      <c r="R1716" t="s">
        <v>137</v>
      </c>
      <c r="S1716" t="s">
        <v>36</v>
      </c>
      <c r="T1716" t="str">
        <f>"86503"</f>
        <v>86503</v>
      </c>
      <c r="U1716" t="str">
        <f>""</f>
        <v/>
      </c>
      <c r="V1716" t="s">
        <v>6017</v>
      </c>
      <c r="W1716" t="s">
        <v>6008</v>
      </c>
      <c r="X1716" t="s">
        <v>137</v>
      </c>
      <c r="Y1716" t="s">
        <v>36</v>
      </c>
      <c r="Z1716" t="str">
        <f>"86503"</f>
        <v>86503</v>
      </c>
      <c r="AA1716" t="str">
        <f>""</f>
        <v/>
      </c>
      <c r="AB1716" t="s">
        <v>124</v>
      </c>
    </row>
    <row r="1717" spans="1:28" x14ac:dyDescent="0.25">
      <c r="A1717">
        <v>8577</v>
      </c>
      <c r="B1717" t="str">
        <f>"034001000"</f>
        <v>034001000</v>
      </c>
      <c r="C1717" t="s">
        <v>6018</v>
      </c>
      <c r="D1717">
        <v>0</v>
      </c>
      <c r="E1717" t="str">
        <f>""</f>
        <v/>
      </c>
      <c r="G1717" t="s">
        <v>29</v>
      </c>
      <c r="H1717" t="s">
        <v>210</v>
      </c>
      <c r="I1717" t="s">
        <v>6019</v>
      </c>
      <c r="J1717" t="s">
        <v>6020</v>
      </c>
      <c r="K1717" t="str">
        <f>"9282836325"</f>
        <v>9282836325</v>
      </c>
      <c r="L1717" t="str">
        <f>"201"</f>
        <v>201</v>
      </c>
      <c r="M1717" t="str">
        <f>"9282835158"</f>
        <v>9282835158</v>
      </c>
      <c r="N1717" t="str">
        <f>""</f>
        <v/>
      </c>
      <c r="O1717" t="s">
        <v>6021</v>
      </c>
      <c r="P1717" t="s">
        <v>6022</v>
      </c>
      <c r="Q1717" t="s">
        <v>6023</v>
      </c>
      <c r="R1717" t="s">
        <v>6024</v>
      </c>
      <c r="S1717" t="s">
        <v>36</v>
      </c>
      <c r="T1717" t="str">
        <f>"86044"</f>
        <v>86044</v>
      </c>
      <c r="U1717" t="str">
        <f>"0039"</f>
        <v>0039</v>
      </c>
      <c r="V1717" t="s">
        <v>6022</v>
      </c>
      <c r="W1717" t="s">
        <v>6025</v>
      </c>
      <c r="X1717" t="s">
        <v>6024</v>
      </c>
      <c r="Y1717" t="s">
        <v>36</v>
      </c>
      <c r="Z1717" t="str">
        <f>"86044"</f>
        <v>86044</v>
      </c>
      <c r="AA1717" t="str">
        <f>"0039"</f>
        <v>0039</v>
      </c>
      <c r="AB1717" t="s">
        <v>124</v>
      </c>
    </row>
    <row r="1718" spans="1:28" x14ac:dyDescent="0.25">
      <c r="A1718">
        <v>8577</v>
      </c>
      <c r="B1718" t="str">
        <f>"034001000"</f>
        <v>034001000</v>
      </c>
      <c r="C1718" t="s">
        <v>6018</v>
      </c>
      <c r="D1718">
        <v>80405</v>
      </c>
      <c r="E1718" t="str">
        <f>"033904005"</f>
        <v>033904005</v>
      </c>
      <c r="F1718" t="s">
        <v>6018</v>
      </c>
      <c r="G1718" t="s">
        <v>42</v>
      </c>
      <c r="H1718" t="s">
        <v>3053</v>
      </c>
      <c r="I1718" t="s">
        <v>6026</v>
      </c>
      <c r="J1718" t="s">
        <v>6027</v>
      </c>
      <c r="K1718" t="str">
        <f>"9282836325"</f>
        <v>9282836325</v>
      </c>
      <c r="L1718" t="str">
        <f>"205"</f>
        <v>205</v>
      </c>
      <c r="M1718" t="str">
        <f>"9282835158"</f>
        <v>9282835158</v>
      </c>
      <c r="N1718" t="str">
        <f>""</f>
        <v/>
      </c>
      <c r="O1718" t="s">
        <v>6028</v>
      </c>
      <c r="P1718" t="s">
        <v>6029</v>
      </c>
      <c r="Q1718" t="s">
        <v>6030</v>
      </c>
      <c r="R1718" t="s">
        <v>6024</v>
      </c>
      <c r="S1718" t="s">
        <v>36</v>
      </c>
      <c r="T1718" t="str">
        <f>"86044"</f>
        <v>86044</v>
      </c>
      <c r="U1718" t="str">
        <f>"0039"</f>
        <v>0039</v>
      </c>
      <c r="V1718" t="s">
        <v>6031</v>
      </c>
      <c r="W1718" t="s">
        <v>6032</v>
      </c>
      <c r="X1718" t="s">
        <v>6024</v>
      </c>
      <c r="Y1718" t="s">
        <v>36</v>
      </c>
      <c r="Z1718" t="str">
        <f>"86044"</f>
        <v>86044</v>
      </c>
      <c r="AA1718" t="str">
        <f>"0039"</f>
        <v>0039</v>
      </c>
      <c r="AB1718" t="s">
        <v>124</v>
      </c>
    </row>
    <row r="1719" spans="1:28" x14ac:dyDescent="0.25">
      <c r="A1719">
        <v>8578</v>
      </c>
      <c r="B1719" t="str">
        <f>"034002000"</f>
        <v>034002000</v>
      </c>
      <c r="C1719" t="s">
        <v>6033</v>
      </c>
      <c r="D1719">
        <v>0</v>
      </c>
      <c r="E1719" t="str">
        <f>""</f>
        <v/>
      </c>
      <c r="G1719" t="s">
        <v>29</v>
      </c>
      <c r="H1719" t="s">
        <v>2592</v>
      </c>
      <c r="I1719" t="s">
        <v>6034</v>
      </c>
      <c r="J1719" t="s">
        <v>195</v>
      </c>
      <c r="K1719" t="str">
        <f>"9282832330"</f>
        <v>9282832330</v>
      </c>
      <c r="L1719" t="str">
        <f>"5133"</f>
        <v>5133</v>
      </c>
      <c r="M1719" t="str">
        <f>"2982832362"</f>
        <v>2982832362</v>
      </c>
      <c r="N1719" t="str">
        <f>""</f>
        <v/>
      </c>
      <c r="O1719" t="s">
        <v>6035</v>
      </c>
      <c r="P1719" t="s">
        <v>6036</v>
      </c>
      <c r="R1719" t="s">
        <v>659</v>
      </c>
      <c r="S1719" t="s">
        <v>36</v>
      </c>
      <c r="T1719" t="str">
        <f>"86045"</f>
        <v>86045</v>
      </c>
      <c r="U1719" t="str">
        <f>"0187"</f>
        <v>0187</v>
      </c>
      <c r="V1719" t="s">
        <v>6037</v>
      </c>
      <c r="X1719" t="s">
        <v>659</v>
      </c>
      <c r="Y1719" t="s">
        <v>36</v>
      </c>
      <c r="Z1719" t="str">
        <f>"86045"</f>
        <v>86045</v>
      </c>
      <c r="AA1719" t="str">
        <f>"0187"</f>
        <v>0187</v>
      </c>
      <c r="AB1719" t="s">
        <v>124</v>
      </c>
    </row>
    <row r="1720" spans="1:28" x14ac:dyDescent="0.25">
      <c r="A1720">
        <v>8578</v>
      </c>
      <c r="B1720" t="str">
        <f>"034002000"</f>
        <v>034002000</v>
      </c>
      <c r="C1720" t="s">
        <v>6033</v>
      </c>
      <c r="D1720">
        <v>80411</v>
      </c>
      <c r="E1720" t="str">
        <f>"033904007"</f>
        <v>033904007</v>
      </c>
      <c r="F1720" t="s">
        <v>6033</v>
      </c>
      <c r="G1720" t="s">
        <v>42</v>
      </c>
      <c r="H1720" t="s">
        <v>6038</v>
      </c>
      <c r="I1720" t="s">
        <v>6039</v>
      </c>
      <c r="J1720" t="s">
        <v>6040</v>
      </c>
      <c r="K1720" t="str">
        <f>"9282832330"</f>
        <v>9282832330</v>
      </c>
      <c r="L1720" t="str">
        <f>"5133"</f>
        <v>5133</v>
      </c>
      <c r="M1720" t="str">
        <f>"9282832362"</f>
        <v>9282832362</v>
      </c>
      <c r="N1720" t="str">
        <f>""</f>
        <v/>
      </c>
      <c r="O1720" t="s">
        <v>6035</v>
      </c>
      <c r="P1720" t="s">
        <v>6036</v>
      </c>
      <c r="R1720" t="s">
        <v>6041</v>
      </c>
      <c r="S1720" t="s">
        <v>36</v>
      </c>
      <c r="T1720" t="str">
        <f>"86045"</f>
        <v>86045</v>
      </c>
      <c r="U1720" t="str">
        <f>"0187"</f>
        <v>0187</v>
      </c>
      <c r="V1720" t="s">
        <v>6037</v>
      </c>
      <c r="X1720" t="s">
        <v>659</v>
      </c>
      <c r="Y1720" t="s">
        <v>36</v>
      </c>
      <c r="Z1720" t="str">
        <f>"86045"</f>
        <v>86045</v>
      </c>
      <c r="AA1720" t="str">
        <f>"0187"</f>
        <v>0187</v>
      </c>
      <c r="AB1720" t="s">
        <v>124</v>
      </c>
    </row>
    <row r="1721" spans="1:28" x14ac:dyDescent="0.25">
      <c r="A1721">
        <v>8647</v>
      </c>
      <c r="B1721" t="str">
        <f>"072004000"</f>
        <v>072004000</v>
      </c>
      <c r="C1721" t="s">
        <v>6042</v>
      </c>
      <c r="D1721">
        <v>0</v>
      </c>
      <c r="E1721" t="str">
        <f>""</f>
        <v/>
      </c>
      <c r="G1721" t="s">
        <v>29</v>
      </c>
      <c r="H1721" t="s">
        <v>2957</v>
      </c>
      <c r="I1721" t="s">
        <v>6043</v>
      </c>
      <c r="J1721" t="s">
        <v>486</v>
      </c>
      <c r="K1721" t="str">
        <f>"4809675567"</f>
        <v>4809675567</v>
      </c>
      <c r="L1721" t="str">
        <f>""</f>
        <v/>
      </c>
      <c r="M1721" t="str">
        <f>""</f>
        <v/>
      </c>
      <c r="N1721" t="str">
        <f>""</f>
        <v/>
      </c>
      <c r="O1721" t="s">
        <v>6044</v>
      </c>
      <c r="P1721" t="s">
        <v>6045</v>
      </c>
      <c r="R1721" t="s">
        <v>967</v>
      </c>
      <c r="S1721" t="s">
        <v>36</v>
      </c>
      <c r="T1721" t="str">
        <f>"85282"</f>
        <v>85282</v>
      </c>
      <c r="U1721" t="str">
        <f>""</f>
        <v/>
      </c>
      <c r="V1721" t="s">
        <v>6045</v>
      </c>
      <c r="X1721" t="s">
        <v>967</v>
      </c>
      <c r="Y1721" t="s">
        <v>36</v>
      </c>
      <c r="Z1721" t="str">
        <f>"85282"</f>
        <v>85282</v>
      </c>
      <c r="AA1721" t="str">
        <f>""</f>
        <v/>
      </c>
      <c r="AB1721" t="s">
        <v>249</v>
      </c>
    </row>
    <row r="1722" spans="1:28" x14ac:dyDescent="0.25">
      <c r="A1722">
        <v>8647</v>
      </c>
      <c r="B1722" t="str">
        <f>"072004000"</f>
        <v>072004000</v>
      </c>
      <c r="C1722" t="s">
        <v>6042</v>
      </c>
      <c r="D1722">
        <v>10351</v>
      </c>
      <c r="E1722" t="str">
        <f>"072004001"</f>
        <v>072004001</v>
      </c>
      <c r="F1722" t="s">
        <v>6042</v>
      </c>
      <c r="G1722" t="s">
        <v>42</v>
      </c>
      <c r="H1722" t="s">
        <v>5836</v>
      </c>
      <c r="I1722" t="s">
        <v>6046</v>
      </c>
      <c r="J1722" t="s">
        <v>6047</v>
      </c>
      <c r="K1722" t="str">
        <f>"4809675567"</f>
        <v>4809675567</v>
      </c>
      <c r="L1722" t="str">
        <f>""</f>
        <v/>
      </c>
      <c r="M1722" t="str">
        <f>"4809676038"</f>
        <v>4809676038</v>
      </c>
      <c r="N1722" t="str">
        <f>""</f>
        <v/>
      </c>
      <c r="O1722" t="s">
        <v>6048</v>
      </c>
      <c r="P1722" t="s">
        <v>6045</v>
      </c>
      <c r="R1722" t="s">
        <v>967</v>
      </c>
      <c r="S1722" t="s">
        <v>36</v>
      </c>
      <c r="T1722" t="str">
        <f>"85282"</f>
        <v>85282</v>
      </c>
      <c r="U1722" t="str">
        <f>""</f>
        <v/>
      </c>
      <c r="V1722" t="s">
        <v>6045</v>
      </c>
      <c r="X1722" t="s">
        <v>967</v>
      </c>
      <c r="Y1722" t="s">
        <v>36</v>
      </c>
      <c r="Z1722" t="str">
        <f>"85282"</f>
        <v>85282</v>
      </c>
      <c r="AA1722" t="str">
        <f>""</f>
        <v/>
      </c>
      <c r="AB1722" t="s">
        <v>249</v>
      </c>
    </row>
    <row r="1723" spans="1:28" x14ac:dyDescent="0.25">
      <c r="A1723">
        <v>9655</v>
      </c>
      <c r="B1723" t="str">
        <f>"092001000"</f>
        <v>092001000</v>
      </c>
      <c r="C1723" t="s">
        <v>6049</v>
      </c>
      <c r="D1723">
        <v>0</v>
      </c>
      <c r="E1723" t="str">
        <f>""</f>
        <v/>
      </c>
      <c r="G1723" t="s">
        <v>29</v>
      </c>
      <c r="H1723" t="s">
        <v>5244</v>
      </c>
      <c r="I1723" t="s">
        <v>6050</v>
      </c>
      <c r="J1723" t="s">
        <v>3763</v>
      </c>
      <c r="K1723" t="str">
        <f>"9285375912"</f>
        <v>9285375912</v>
      </c>
      <c r="L1723" t="str">
        <f>""</f>
        <v/>
      </c>
      <c r="M1723" t="str">
        <f>"9285375620"</f>
        <v>9285375620</v>
      </c>
      <c r="N1723" t="str">
        <f>""</f>
        <v/>
      </c>
      <c r="O1723" t="s">
        <v>6051</v>
      </c>
      <c r="P1723" t="s">
        <v>6052</v>
      </c>
      <c r="R1723" t="s">
        <v>4088</v>
      </c>
      <c r="S1723" t="s">
        <v>36</v>
      </c>
      <c r="T1723" t="str">
        <f>"85901"</f>
        <v>85901</v>
      </c>
      <c r="U1723" t="str">
        <f>""</f>
        <v/>
      </c>
      <c r="V1723" t="s">
        <v>6052</v>
      </c>
      <c r="X1723" t="s">
        <v>4088</v>
      </c>
      <c r="Y1723" t="s">
        <v>36</v>
      </c>
      <c r="Z1723" t="str">
        <f>"85901"</f>
        <v>85901</v>
      </c>
      <c r="AA1723" t="str">
        <f>""</f>
        <v/>
      </c>
      <c r="AB1723" t="s">
        <v>56</v>
      </c>
    </row>
    <row r="1724" spans="1:28" x14ac:dyDescent="0.25">
      <c r="A1724">
        <v>9655</v>
      </c>
      <c r="B1724" t="str">
        <f>"092001000"</f>
        <v>092001000</v>
      </c>
      <c r="C1724" t="s">
        <v>6049</v>
      </c>
      <c r="D1724">
        <v>80313</v>
      </c>
      <c r="E1724" t="str">
        <f>"092001101"</f>
        <v>092001101</v>
      </c>
      <c r="F1724" t="s">
        <v>6049</v>
      </c>
      <c r="G1724" t="s">
        <v>42</v>
      </c>
      <c r="H1724" t="s">
        <v>5244</v>
      </c>
      <c r="I1724" t="s">
        <v>6050</v>
      </c>
      <c r="J1724" t="s">
        <v>3763</v>
      </c>
      <c r="K1724" t="str">
        <f>"9285375912"</f>
        <v>9285375912</v>
      </c>
      <c r="L1724" t="str">
        <f>""</f>
        <v/>
      </c>
      <c r="M1724" t="str">
        <f>"9285375620"</f>
        <v>9285375620</v>
      </c>
      <c r="N1724" t="str">
        <f>""</f>
        <v/>
      </c>
      <c r="O1724" t="s">
        <v>6051</v>
      </c>
      <c r="P1724" t="s">
        <v>6052</v>
      </c>
      <c r="R1724" t="s">
        <v>4088</v>
      </c>
      <c r="S1724" t="s">
        <v>36</v>
      </c>
      <c r="T1724" t="str">
        <f>"85901"</f>
        <v>85901</v>
      </c>
      <c r="U1724" t="str">
        <f>""</f>
        <v/>
      </c>
      <c r="V1724" t="s">
        <v>6052</v>
      </c>
      <c r="X1724" t="s">
        <v>4088</v>
      </c>
      <c r="Y1724" t="s">
        <v>36</v>
      </c>
      <c r="Z1724" t="str">
        <f>"85901"</f>
        <v>85901</v>
      </c>
      <c r="AA1724" t="str">
        <f>""</f>
        <v/>
      </c>
      <c r="AB1724" t="s">
        <v>56</v>
      </c>
    </row>
    <row r="1725" spans="1:28" x14ac:dyDescent="0.25">
      <c r="A1725">
        <v>9688</v>
      </c>
      <c r="B1725" t="str">
        <f>"093901000"</f>
        <v>093901000</v>
      </c>
      <c r="C1725" t="s">
        <v>6053</v>
      </c>
      <c r="D1725">
        <v>0</v>
      </c>
      <c r="E1725" t="str">
        <f>""</f>
        <v/>
      </c>
      <c r="G1725" t="s">
        <v>29</v>
      </c>
      <c r="H1725" t="s">
        <v>6054</v>
      </c>
      <c r="I1725" t="s">
        <v>6055</v>
      </c>
      <c r="J1725" t="s">
        <v>6056</v>
      </c>
      <c r="K1725" t="str">
        <f>"9286743632"</f>
        <v>9286743632</v>
      </c>
      <c r="L1725" t="str">
        <f>""</f>
        <v/>
      </c>
      <c r="M1725" t="str">
        <f>"7756598187"</f>
        <v>7756598187</v>
      </c>
      <c r="N1725" t="str">
        <f>""</f>
        <v/>
      </c>
      <c r="O1725" t="s">
        <v>6057</v>
      </c>
      <c r="P1725" t="s">
        <v>6058</v>
      </c>
      <c r="R1725" t="s">
        <v>4021</v>
      </c>
      <c r="S1725" t="s">
        <v>36</v>
      </c>
      <c r="T1725" t="str">
        <f>"86510"</f>
        <v>86510</v>
      </c>
      <c r="U1725" t="str">
        <f>"0097"</f>
        <v>0097</v>
      </c>
      <c r="V1725" t="s">
        <v>6059</v>
      </c>
      <c r="X1725" t="s">
        <v>4021</v>
      </c>
      <c r="Y1725" t="s">
        <v>36</v>
      </c>
      <c r="Z1725" t="str">
        <f>"86510"</f>
        <v>86510</v>
      </c>
      <c r="AA1725" t="str">
        <f>"0097"</f>
        <v>0097</v>
      </c>
      <c r="AB1725" t="s">
        <v>632</v>
      </c>
    </row>
    <row r="1726" spans="1:28" x14ac:dyDescent="0.25">
      <c r="A1726">
        <v>9688</v>
      </c>
      <c r="B1726" t="str">
        <f>"093901000"</f>
        <v>093901000</v>
      </c>
      <c r="C1726" t="s">
        <v>6053</v>
      </c>
      <c r="D1726">
        <v>80426</v>
      </c>
      <c r="E1726" t="str">
        <f>"093901001"</f>
        <v>093901001</v>
      </c>
      <c r="F1726" t="s">
        <v>6053</v>
      </c>
      <c r="G1726" t="s">
        <v>42</v>
      </c>
      <c r="H1726" t="s">
        <v>6054</v>
      </c>
      <c r="I1726" t="s">
        <v>6055</v>
      </c>
      <c r="J1726" t="s">
        <v>6056</v>
      </c>
      <c r="K1726" t="str">
        <f>"9286743632"</f>
        <v>9286743632</v>
      </c>
      <c r="L1726" t="str">
        <f>""</f>
        <v/>
      </c>
      <c r="M1726" t="str">
        <f>"7756598187"</f>
        <v>7756598187</v>
      </c>
      <c r="N1726" t="str">
        <f>""</f>
        <v/>
      </c>
      <c r="O1726" t="s">
        <v>6057</v>
      </c>
      <c r="P1726" t="s">
        <v>6058</v>
      </c>
      <c r="R1726" t="s">
        <v>4021</v>
      </c>
      <c r="S1726" t="s">
        <v>36</v>
      </c>
      <c r="T1726" t="str">
        <f>"86510"</f>
        <v>86510</v>
      </c>
      <c r="U1726" t="str">
        <f>"0097"</f>
        <v>0097</v>
      </c>
      <c r="V1726" t="s">
        <v>6059</v>
      </c>
      <c r="X1726" t="s">
        <v>4021</v>
      </c>
      <c r="Y1726" t="s">
        <v>36</v>
      </c>
      <c r="Z1726" t="str">
        <f>"86510"</f>
        <v>86510</v>
      </c>
      <c r="AA1726" t="str">
        <f>"0097"</f>
        <v>0097</v>
      </c>
      <c r="AB1726" t="s">
        <v>632</v>
      </c>
    </row>
    <row r="1727" spans="1:28" x14ac:dyDescent="0.25">
      <c r="A1727">
        <v>9689</v>
      </c>
      <c r="B1727" t="str">
        <f>"093902000"</f>
        <v>093902000</v>
      </c>
      <c r="C1727" t="s">
        <v>6060</v>
      </c>
      <c r="D1727">
        <v>0</v>
      </c>
      <c r="E1727" t="str">
        <f>""</f>
        <v/>
      </c>
      <c r="G1727" t="s">
        <v>29</v>
      </c>
      <c r="H1727" t="s">
        <v>6061</v>
      </c>
      <c r="I1727" t="s">
        <v>6062</v>
      </c>
      <c r="J1727" t="s">
        <v>6063</v>
      </c>
      <c r="K1727" t="str">
        <f>"9286866211"</f>
        <v>9286866211</v>
      </c>
      <c r="L1727" t="str">
        <f>"6019"</f>
        <v>6019</v>
      </c>
      <c r="M1727" t="str">
        <f>"9286866216"</f>
        <v>9286866216</v>
      </c>
      <c r="N1727" t="str">
        <f>""</f>
        <v/>
      </c>
      <c r="O1727" t="s">
        <v>6064</v>
      </c>
      <c r="P1727" t="s">
        <v>6065</v>
      </c>
      <c r="Q1727" t="s">
        <v>6066</v>
      </c>
      <c r="R1727" t="s">
        <v>3956</v>
      </c>
      <c r="S1727" t="s">
        <v>36</v>
      </c>
      <c r="T1727" t="str">
        <f>"86047"</f>
        <v>86047</v>
      </c>
      <c r="U1727" t="str">
        <f>""</f>
        <v/>
      </c>
      <c r="V1727" t="s">
        <v>6060</v>
      </c>
      <c r="W1727" t="s">
        <v>6066</v>
      </c>
      <c r="X1727" t="s">
        <v>3956</v>
      </c>
      <c r="Y1727" t="s">
        <v>36</v>
      </c>
      <c r="Z1727" t="str">
        <f>"86047"</f>
        <v>86047</v>
      </c>
      <c r="AA1727" t="str">
        <f>""</f>
        <v/>
      </c>
      <c r="AB1727" t="s">
        <v>2345</v>
      </c>
    </row>
    <row r="1728" spans="1:28" x14ac:dyDescent="0.25">
      <c r="A1728">
        <v>9689</v>
      </c>
      <c r="B1728" t="str">
        <f>"093902000"</f>
        <v>093902000</v>
      </c>
      <c r="C1728" t="s">
        <v>6060</v>
      </c>
      <c r="D1728">
        <v>80374</v>
      </c>
      <c r="E1728" t="str">
        <f>"033904010"</f>
        <v>033904010</v>
      </c>
      <c r="F1728" t="s">
        <v>6067</v>
      </c>
      <c r="G1728" t="s">
        <v>42</v>
      </c>
      <c r="H1728" t="s">
        <v>6061</v>
      </c>
      <c r="I1728" t="s">
        <v>6062</v>
      </c>
      <c r="J1728" t="s">
        <v>6068</v>
      </c>
      <c r="K1728" t="str">
        <f>"9286866211"</f>
        <v>9286866211</v>
      </c>
      <c r="L1728" t="str">
        <f>"6019"</f>
        <v>6019</v>
      </c>
      <c r="M1728" t="str">
        <f>"9286866216"</f>
        <v>9286866216</v>
      </c>
      <c r="N1728" t="str">
        <f>""</f>
        <v/>
      </c>
      <c r="O1728" t="s">
        <v>6064</v>
      </c>
      <c r="P1728" t="s">
        <v>6069</v>
      </c>
      <c r="R1728" t="s">
        <v>3956</v>
      </c>
      <c r="S1728" t="s">
        <v>36</v>
      </c>
      <c r="T1728" t="str">
        <f>"86047"</f>
        <v>86047</v>
      </c>
      <c r="U1728" t="str">
        <f>""</f>
        <v/>
      </c>
      <c r="V1728" t="s">
        <v>6070</v>
      </c>
      <c r="X1728" t="s">
        <v>3956</v>
      </c>
      <c r="Y1728" t="s">
        <v>36</v>
      </c>
      <c r="Z1728" t="str">
        <f>"86047"</f>
        <v>86047</v>
      </c>
      <c r="AA1728" t="str">
        <f>""</f>
        <v/>
      </c>
      <c r="AB1728" t="s">
        <v>2345</v>
      </c>
    </row>
    <row r="1729" spans="1:28" x14ac:dyDescent="0.25">
      <c r="A1729">
        <v>9691</v>
      </c>
      <c r="B1729" t="str">
        <f>"094001000"</f>
        <v>094001000</v>
      </c>
      <c r="C1729" t="s">
        <v>6071</v>
      </c>
      <c r="D1729">
        <v>0</v>
      </c>
      <c r="E1729" t="str">
        <f>""</f>
        <v/>
      </c>
      <c r="G1729" t="s">
        <v>29</v>
      </c>
      <c r="H1729" t="s">
        <v>6072</v>
      </c>
      <c r="I1729" t="s">
        <v>6073</v>
      </c>
      <c r="J1729" t="s">
        <v>6074</v>
      </c>
      <c r="K1729" t="str">
        <f>"9286543331"</f>
        <v>9286543331</v>
      </c>
      <c r="L1729" t="str">
        <f>"2230"</f>
        <v>2230</v>
      </c>
      <c r="M1729" t="str">
        <f>"9286543384"</f>
        <v>9286543384</v>
      </c>
      <c r="N1729" t="str">
        <f>""</f>
        <v/>
      </c>
      <c r="O1729" t="s">
        <v>6075</v>
      </c>
      <c r="P1729" t="s">
        <v>6076</v>
      </c>
      <c r="R1729" t="s">
        <v>122</v>
      </c>
      <c r="S1729" t="s">
        <v>36</v>
      </c>
      <c r="T1729" t="str">
        <f>"86505"</f>
        <v>86505</v>
      </c>
      <c r="U1729" t="str">
        <f>"9706"</f>
        <v>9706</v>
      </c>
      <c r="V1729" t="s">
        <v>6077</v>
      </c>
      <c r="X1729" t="s">
        <v>6078</v>
      </c>
      <c r="Y1729" t="s">
        <v>36</v>
      </c>
      <c r="Z1729" t="str">
        <f>"86505"</f>
        <v>86505</v>
      </c>
      <c r="AA1729" t="str">
        <f>"9706"</f>
        <v>9706</v>
      </c>
      <c r="AB1729" t="s">
        <v>40</v>
      </c>
    </row>
    <row r="1730" spans="1:28" x14ac:dyDescent="0.25">
      <c r="A1730">
        <v>9691</v>
      </c>
      <c r="B1730" t="str">
        <f>"094001000"</f>
        <v>094001000</v>
      </c>
      <c r="C1730" t="s">
        <v>6071</v>
      </c>
      <c r="D1730">
        <v>80421</v>
      </c>
      <c r="E1730" t="str">
        <f>"014005012"</f>
        <v>014005012</v>
      </c>
      <c r="F1730" t="s">
        <v>6078</v>
      </c>
      <c r="G1730" t="s">
        <v>42</v>
      </c>
      <c r="H1730" t="s">
        <v>6072</v>
      </c>
      <c r="I1730" t="s">
        <v>6073</v>
      </c>
      <c r="J1730" t="s">
        <v>6074</v>
      </c>
      <c r="K1730" t="str">
        <f>"9286543331"</f>
        <v>9286543331</v>
      </c>
      <c r="L1730" t="str">
        <f>"2230"</f>
        <v>2230</v>
      </c>
      <c r="M1730" t="str">
        <f>"9286543384"</f>
        <v>9286543384</v>
      </c>
      <c r="N1730" t="str">
        <f>""</f>
        <v/>
      </c>
      <c r="O1730" t="s">
        <v>6075</v>
      </c>
      <c r="P1730" t="s">
        <v>6076</v>
      </c>
      <c r="R1730" t="s">
        <v>122</v>
      </c>
      <c r="S1730" t="s">
        <v>36</v>
      </c>
      <c r="T1730" t="str">
        <f>"86505"</f>
        <v>86505</v>
      </c>
      <c r="U1730" t="str">
        <f>"9706"</f>
        <v>9706</v>
      </c>
      <c r="V1730" t="s">
        <v>6079</v>
      </c>
      <c r="X1730" t="s">
        <v>6078</v>
      </c>
      <c r="Y1730" t="s">
        <v>36</v>
      </c>
      <c r="Z1730" t="str">
        <f>"86505"</f>
        <v>86505</v>
      </c>
      <c r="AA1730" t="str">
        <f>"9706"</f>
        <v>9706</v>
      </c>
      <c r="AB1730" t="s">
        <v>40</v>
      </c>
    </row>
    <row r="1731" spans="1:28" x14ac:dyDescent="0.25">
      <c r="A1731">
        <v>9692</v>
      </c>
      <c r="B1731" t="str">
        <f>"094002000"</f>
        <v>094002000</v>
      </c>
      <c r="C1731" t="s">
        <v>6080</v>
      </c>
      <c r="D1731">
        <v>0</v>
      </c>
      <c r="E1731" t="str">
        <f>""</f>
        <v/>
      </c>
      <c r="G1731" t="s">
        <v>29</v>
      </c>
      <c r="H1731" t="s">
        <v>2850</v>
      </c>
      <c r="I1731" t="s">
        <v>6081</v>
      </c>
      <c r="J1731" t="s">
        <v>6082</v>
      </c>
      <c r="K1731" t="str">
        <f>"9287253651"</f>
        <v>9287253651</v>
      </c>
      <c r="L1731" t="str">
        <f>""</f>
        <v/>
      </c>
      <c r="M1731" t="str">
        <f>"9287253655"</f>
        <v>9287253655</v>
      </c>
      <c r="N1731" t="str">
        <f>""</f>
        <v/>
      </c>
      <c r="O1731" t="s">
        <v>6083</v>
      </c>
      <c r="P1731" t="s">
        <v>6084</v>
      </c>
      <c r="R1731" t="s">
        <v>6085</v>
      </c>
      <c r="S1731" t="s">
        <v>36</v>
      </c>
      <c r="T1731" t="str">
        <f>"86039"</f>
        <v>86039</v>
      </c>
      <c r="U1731" t="str">
        <f>""</f>
        <v/>
      </c>
      <c r="V1731" t="s">
        <v>6086</v>
      </c>
      <c r="W1731" t="s">
        <v>6087</v>
      </c>
      <c r="X1731" t="s">
        <v>6085</v>
      </c>
      <c r="Y1731" t="s">
        <v>36</v>
      </c>
      <c r="Z1731" t="str">
        <f>"86039"</f>
        <v>86039</v>
      </c>
      <c r="AA1731" t="str">
        <f>""</f>
        <v/>
      </c>
      <c r="AB1731" t="s">
        <v>282</v>
      </c>
    </row>
    <row r="1732" spans="1:28" x14ac:dyDescent="0.25">
      <c r="A1732">
        <v>9692</v>
      </c>
      <c r="B1732" t="str">
        <f>"094002000"</f>
        <v>094002000</v>
      </c>
      <c r="C1732" t="s">
        <v>6080</v>
      </c>
      <c r="D1732">
        <v>80414</v>
      </c>
      <c r="E1732" t="str">
        <f>"033904006"</f>
        <v>033904006</v>
      </c>
      <c r="F1732" t="s">
        <v>6080</v>
      </c>
      <c r="G1732" t="s">
        <v>42</v>
      </c>
      <c r="H1732" t="s">
        <v>2850</v>
      </c>
      <c r="I1732" t="s">
        <v>6081</v>
      </c>
      <c r="J1732" t="s">
        <v>6088</v>
      </c>
      <c r="K1732" t="str">
        <f>"9287253650"</f>
        <v>9287253650</v>
      </c>
      <c r="L1732" t="str">
        <f>"104"</f>
        <v>104</v>
      </c>
      <c r="M1732" t="str">
        <f>"9287253655"</f>
        <v>9287253655</v>
      </c>
      <c r="N1732" t="str">
        <f>""</f>
        <v/>
      </c>
      <c r="O1732" t="s">
        <v>6089</v>
      </c>
      <c r="P1732" t="s">
        <v>6090</v>
      </c>
      <c r="R1732" t="s">
        <v>6085</v>
      </c>
      <c r="S1732" t="s">
        <v>36</v>
      </c>
      <c r="T1732" t="str">
        <f>"86039"</f>
        <v>86039</v>
      </c>
      <c r="U1732" t="str">
        <f>""</f>
        <v/>
      </c>
      <c r="V1732" t="s">
        <v>6091</v>
      </c>
      <c r="W1732" t="s">
        <v>6080</v>
      </c>
      <c r="X1732" t="s">
        <v>6085</v>
      </c>
      <c r="Y1732" t="s">
        <v>36</v>
      </c>
      <c r="Z1732" t="str">
        <f>"86039"</f>
        <v>86039</v>
      </c>
      <c r="AA1732" t="str">
        <f>""</f>
        <v/>
      </c>
      <c r="AB1732" t="s">
        <v>282</v>
      </c>
    </row>
    <row r="1733" spans="1:28" x14ac:dyDescent="0.25">
      <c r="A1733">
        <v>9693</v>
      </c>
      <c r="B1733" t="str">
        <f>"094003000"</f>
        <v>094003000</v>
      </c>
      <c r="C1733" t="s">
        <v>6092</v>
      </c>
      <c r="D1733">
        <v>0</v>
      </c>
      <c r="E1733" t="str">
        <f>""</f>
        <v/>
      </c>
      <c r="G1733" t="s">
        <v>29</v>
      </c>
      <c r="H1733" t="s">
        <v>6093</v>
      </c>
      <c r="I1733" t="s">
        <v>6094</v>
      </c>
      <c r="J1733" t="s">
        <v>4104</v>
      </c>
      <c r="K1733" t="str">
        <f>"9286583202"</f>
        <v>9286583202</v>
      </c>
      <c r="L1733" t="str">
        <f>""</f>
        <v/>
      </c>
      <c r="M1733" t="str">
        <f>"9286583221"</f>
        <v>9286583221</v>
      </c>
      <c r="N1733" t="str">
        <f>""</f>
        <v/>
      </c>
      <c r="O1733" t="s">
        <v>6095</v>
      </c>
      <c r="P1733" t="s">
        <v>6096</v>
      </c>
      <c r="Q1733" t="s">
        <v>6097</v>
      </c>
      <c r="R1733" t="s">
        <v>6098</v>
      </c>
      <c r="S1733" t="s">
        <v>36</v>
      </c>
      <c r="T1733" t="str">
        <f>"86535"</f>
        <v>86535</v>
      </c>
      <c r="U1733" t="str">
        <f>"2570"</f>
        <v>2570</v>
      </c>
      <c r="V1733" t="s">
        <v>6096</v>
      </c>
      <c r="W1733" t="s">
        <v>6099</v>
      </c>
      <c r="X1733" t="s">
        <v>6098</v>
      </c>
      <c r="Y1733" t="s">
        <v>36</v>
      </c>
      <c r="Z1733" t="str">
        <f>"86535"</f>
        <v>86535</v>
      </c>
      <c r="AA1733" t="str">
        <f>"2570"</f>
        <v>2570</v>
      </c>
      <c r="AB1733" t="s">
        <v>632</v>
      </c>
    </row>
    <row r="1734" spans="1:28" x14ac:dyDescent="0.25">
      <c r="A1734">
        <v>9693</v>
      </c>
      <c r="B1734" t="str">
        <f>"094003000"</f>
        <v>094003000</v>
      </c>
      <c r="C1734" t="s">
        <v>6092</v>
      </c>
      <c r="D1734">
        <v>80377</v>
      </c>
      <c r="E1734" t="str">
        <f>"014005011"</f>
        <v>014005011</v>
      </c>
      <c r="F1734" t="s">
        <v>6092</v>
      </c>
      <c r="G1734" t="s">
        <v>42</v>
      </c>
      <c r="H1734" t="s">
        <v>6100</v>
      </c>
      <c r="I1734" t="s">
        <v>6101</v>
      </c>
      <c r="J1734" t="s">
        <v>6102</v>
      </c>
      <c r="K1734" t="str">
        <f>"9286583202"</f>
        <v>9286583202</v>
      </c>
      <c r="L1734" t="str">
        <f>""</f>
        <v/>
      </c>
      <c r="M1734" t="str">
        <f>"9286583221"</f>
        <v>9286583221</v>
      </c>
      <c r="N1734" t="str">
        <f>""</f>
        <v/>
      </c>
      <c r="O1734" t="s">
        <v>6103</v>
      </c>
      <c r="P1734" t="s">
        <v>6096</v>
      </c>
      <c r="Q1734" t="s">
        <v>6097</v>
      </c>
      <c r="R1734" t="s">
        <v>6098</v>
      </c>
      <c r="S1734" t="s">
        <v>36</v>
      </c>
      <c r="T1734" t="str">
        <f>"86535"</f>
        <v>86535</v>
      </c>
      <c r="U1734" t="str">
        <f>"2570"</f>
        <v>2570</v>
      </c>
      <c r="V1734" t="s">
        <v>6096</v>
      </c>
      <c r="W1734" t="s">
        <v>6099</v>
      </c>
      <c r="X1734" t="s">
        <v>6098</v>
      </c>
      <c r="Y1734" t="s">
        <v>36</v>
      </c>
      <c r="Z1734" t="str">
        <f>"86535"</f>
        <v>86535</v>
      </c>
      <c r="AA1734" t="str">
        <f>"2570"</f>
        <v>2570</v>
      </c>
      <c r="AB1734" t="s">
        <v>632</v>
      </c>
    </row>
    <row r="1735" spans="1:28" x14ac:dyDescent="0.25">
      <c r="A1735">
        <v>10126</v>
      </c>
      <c r="B1735" t="str">
        <f>"122001000"</f>
        <v>122001000</v>
      </c>
      <c r="C1735" t="s">
        <v>6104</v>
      </c>
      <c r="D1735">
        <v>0</v>
      </c>
      <c r="E1735" t="str">
        <f>""</f>
        <v/>
      </c>
      <c r="G1735" t="s">
        <v>29</v>
      </c>
      <c r="H1735" t="s">
        <v>794</v>
      </c>
      <c r="I1735" t="s">
        <v>6105</v>
      </c>
      <c r="J1735" t="s">
        <v>315</v>
      </c>
      <c r="K1735" t="str">
        <f>"5202875659"</f>
        <v>5202875659</v>
      </c>
      <c r="L1735" t="str">
        <f>""</f>
        <v/>
      </c>
      <c r="M1735" t="str">
        <f>"5202872910"</f>
        <v>5202872910</v>
      </c>
      <c r="N1735" t="str">
        <f>""</f>
        <v/>
      </c>
      <c r="O1735" t="s">
        <v>6106</v>
      </c>
      <c r="P1735" t="s">
        <v>6107</v>
      </c>
      <c r="R1735" t="s">
        <v>5129</v>
      </c>
      <c r="S1735" t="s">
        <v>36</v>
      </c>
      <c r="T1735" t="str">
        <f>"85621"</f>
        <v>85621</v>
      </c>
      <c r="U1735" t="str">
        <f>""</f>
        <v/>
      </c>
      <c r="V1735" t="s">
        <v>6107</v>
      </c>
      <c r="X1735" t="s">
        <v>5129</v>
      </c>
      <c r="Y1735" t="s">
        <v>36</v>
      </c>
      <c r="Z1735" t="str">
        <f>"85621"</f>
        <v>85621</v>
      </c>
      <c r="AA1735" t="str">
        <f>""</f>
        <v/>
      </c>
      <c r="AB1735" t="s">
        <v>124</v>
      </c>
    </row>
    <row r="1736" spans="1:28" x14ac:dyDescent="0.25">
      <c r="A1736">
        <v>10126</v>
      </c>
      <c r="B1736" t="str">
        <f>"122001000"</f>
        <v>122001000</v>
      </c>
      <c r="C1736" t="s">
        <v>6104</v>
      </c>
      <c r="D1736">
        <v>80261</v>
      </c>
      <c r="E1736" t="str">
        <f>"122001001"</f>
        <v>122001001</v>
      </c>
      <c r="F1736" t="s">
        <v>6104</v>
      </c>
      <c r="G1736" t="s">
        <v>42</v>
      </c>
      <c r="H1736" t="s">
        <v>794</v>
      </c>
      <c r="I1736" t="s">
        <v>6105</v>
      </c>
      <c r="J1736" t="s">
        <v>315</v>
      </c>
      <c r="K1736" t="str">
        <f>"5202875659"</f>
        <v>5202875659</v>
      </c>
      <c r="L1736" t="str">
        <f>""</f>
        <v/>
      </c>
      <c r="M1736" t="str">
        <f>"5202872910"</f>
        <v>5202872910</v>
      </c>
      <c r="N1736" t="str">
        <f>""</f>
        <v/>
      </c>
      <c r="O1736" t="s">
        <v>6106</v>
      </c>
      <c r="P1736" t="s">
        <v>6108</v>
      </c>
      <c r="R1736" t="s">
        <v>5129</v>
      </c>
      <c r="S1736" t="s">
        <v>36</v>
      </c>
      <c r="T1736" t="str">
        <f>"85621"</f>
        <v>85621</v>
      </c>
      <c r="U1736" t="str">
        <f>""</f>
        <v/>
      </c>
      <c r="V1736" t="s">
        <v>6108</v>
      </c>
      <c r="X1736" t="s">
        <v>5129</v>
      </c>
      <c r="Y1736" t="s">
        <v>36</v>
      </c>
      <c r="Z1736" t="str">
        <f>"85621"</f>
        <v>85621</v>
      </c>
      <c r="AA1736" t="str">
        <f>""</f>
        <v/>
      </c>
      <c r="AB1736" t="s">
        <v>124</v>
      </c>
    </row>
    <row r="1737" spans="1:28" x14ac:dyDescent="0.25">
      <c r="A1737">
        <v>10165</v>
      </c>
      <c r="B1737" t="str">
        <f>"141001000"</f>
        <v>141001000</v>
      </c>
      <c r="C1737" t="s">
        <v>6109</v>
      </c>
      <c r="D1737">
        <v>0</v>
      </c>
      <c r="E1737" t="str">
        <f>""</f>
        <v/>
      </c>
      <c r="G1737" t="s">
        <v>29</v>
      </c>
      <c r="H1737" t="s">
        <v>416</v>
      </c>
      <c r="I1737" t="s">
        <v>6110</v>
      </c>
      <c r="J1737" t="s">
        <v>6111</v>
      </c>
      <c r="K1737" t="str">
        <f>"9283141900"</f>
        <v>9283141900</v>
      </c>
      <c r="L1737" t="str">
        <f>"1051"</f>
        <v>1051</v>
      </c>
      <c r="M1737" t="str">
        <f>""</f>
        <v/>
      </c>
      <c r="N1737" t="str">
        <f>""</f>
        <v/>
      </c>
      <c r="O1737" t="s">
        <v>6112</v>
      </c>
      <c r="P1737" t="s">
        <v>6113</v>
      </c>
      <c r="R1737" t="s">
        <v>5471</v>
      </c>
      <c r="S1737" t="s">
        <v>36</v>
      </c>
      <c r="T1737" t="str">
        <f>"85364"</f>
        <v>85364</v>
      </c>
      <c r="U1737" t="str">
        <f>""</f>
        <v/>
      </c>
      <c r="V1737" t="s">
        <v>6113</v>
      </c>
      <c r="X1737" t="s">
        <v>5471</v>
      </c>
      <c r="Y1737" t="s">
        <v>36</v>
      </c>
      <c r="Z1737" t="str">
        <f>"85364"</f>
        <v>85364</v>
      </c>
      <c r="AA1737" t="str">
        <f>""</f>
        <v/>
      </c>
      <c r="AB1737" t="s">
        <v>5578</v>
      </c>
    </row>
    <row r="1738" spans="1:28" x14ac:dyDescent="0.25">
      <c r="A1738">
        <v>10165</v>
      </c>
      <c r="B1738" t="str">
        <f>"141001000"</f>
        <v>141001000</v>
      </c>
      <c r="C1738" t="s">
        <v>6109</v>
      </c>
      <c r="D1738">
        <v>10166</v>
      </c>
      <c r="E1738" t="str">
        <f>"141001001"</f>
        <v>141001001</v>
      </c>
      <c r="F1738" t="s">
        <v>6109</v>
      </c>
      <c r="G1738" t="s">
        <v>42</v>
      </c>
      <c r="H1738" t="s">
        <v>416</v>
      </c>
      <c r="I1738" t="s">
        <v>6110</v>
      </c>
      <c r="J1738" t="s">
        <v>6111</v>
      </c>
      <c r="K1738" t="str">
        <f>"9283141900"</f>
        <v>9283141900</v>
      </c>
      <c r="L1738" t="str">
        <f>"1051"</f>
        <v>1051</v>
      </c>
      <c r="M1738" t="str">
        <f>"9283141991"</f>
        <v>9283141991</v>
      </c>
      <c r="N1738" t="str">
        <f>""</f>
        <v/>
      </c>
      <c r="O1738" t="s">
        <v>6114</v>
      </c>
      <c r="P1738" t="s">
        <v>6115</v>
      </c>
      <c r="R1738" t="s">
        <v>5471</v>
      </c>
      <c r="S1738" t="s">
        <v>36</v>
      </c>
      <c r="T1738" t="str">
        <f>"85364"</f>
        <v>85364</v>
      </c>
      <c r="U1738" t="str">
        <f>""</f>
        <v/>
      </c>
      <c r="V1738" t="s">
        <v>6115</v>
      </c>
      <c r="X1738" t="s">
        <v>5471</v>
      </c>
      <c r="Y1738" t="s">
        <v>36</v>
      </c>
      <c r="Z1738" t="str">
        <f>"85364"</f>
        <v>85364</v>
      </c>
      <c r="AA1738" t="str">
        <f>""</f>
        <v/>
      </c>
      <c r="AB1738" t="s">
        <v>5578</v>
      </c>
    </row>
    <row r="1739" spans="1:28" x14ac:dyDescent="0.25">
      <c r="A1739">
        <v>10760</v>
      </c>
      <c r="B1739" t="str">
        <f>"078930000"</f>
        <v>078930000</v>
      </c>
      <c r="C1739" t="s">
        <v>6116</v>
      </c>
      <c r="D1739">
        <v>0</v>
      </c>
      <c r="E1739" t="str">
        <f>""</f>
        <v/>
      </c>
      <c r="G1739" t="s">
        <v>29</v>
      </c>
      <c r="H1739" t="s">
        <v>834</v>
      </c>
      <c r="I1739" t="s">
        <v>3419</v>
      </c>
      <c r="J1739" t="s">
        <v>32</v>
      </c>
      <c r="K1739" t="str">
        <f>"4809862335"</f>
        <v>4809862335</v>
      </c>
      <c r="L1739" t="str">
        <f>"2603"</f>
        <v>2603</v>
      </c>
      <c r="M1739" t="str">
        <f>"4803739176"</f>
        <v>4803739176</v>
      </c>
      <c r="N1739" t="str">
        <f>""</f>
        <v/>
      </c>
      <c r="O1739" t="s">
        <v>6117</v>
      </c>
      <c r="P1739" t="s">
        <v>6118</v>
      </c>
      <c r="R1739" t="s">
        <v>979</v>
      </c>
      <c r="S1739" t="s">
        <v>36</v>
      </c>
      <c r="T1739" t="str">
        <f>"85209"</f>
        <v>85209</v>
      </c>
      <c r="U1739" t="str">
        <f>""</f>
        <v/>
      </c>
      <c r="V1739" t="s">
        <v>6118</v>
      </c>
      <c r="X1739" t="s">
        <v>979</v>
      </c>
      <c r="Y1739" t="s">
        <v>36</v>
      </c>
      <c r="Z1739" t="str">
        <f>"85209"</f>
        <v>85209</v>
      </c>
      <c r="AA1739" t="str">
        <f>""</f>
        <v/>
      </c>
      <c r="AB1739" t="s">
        <v>282</v>
      </c>
    </row>
    <row r="1740" spans="1:28" x14ac:dyDescent="0.25">
      <c r="A1740">
        <v>10760</v>
      </c>
      <c r="B1740" t="str">
        <f>"078930000"</f>
        <v>078930000</v>
      </c>
      <c r="C1740" t="s">
        <v>6116</v>
      </c>
      <c r="D1740">
        <v>10800</v>
      </c>
      <c r="E1740" t="str">
        <f>"078930101"</f>
        <v>078930101</v>
      </c>
      <c r="F1740" t="s">
        <v>6119</v>
      </c>
      <c r="G1740" t="s">
        <v>42</v>
      </c>
      <c r="H1740" t="s">
        <v>834</v>
      </c>
      <c r="I1740" t="s">
        <v>3419</v>
      </c>
      <c r="J1740" t="s">
        <v>32</v>
      </c>
      <c r="K1740" t="str">
        <f>"4809862335"</f>
        <v>4809862335</v>
      </c>
      <c r="L1740" t="str">
        <f>"2603"</f>
        <v>2603</v>
      </c>
      <c r="M1740" t="str">
        <f>"4803739176"</f>
        <v>4803739176</v>
      </c>
      <c r="N1740" t="str">
        <f>""</f>
        <v/>
      </c>
      <c r="O1740" t="s">
        <v>6117</v>
      </c>
      <c r="P1740" t="s">
        <v>6120</v>
      </c>
      <c r="R1740" t="s">
        <v>979</v>
      </c>
      <c r="S1740" t="s">
        <v>36</v>
      </c>
      <c r="T1740" t="str">
        <f>"85209"</f>
        <v>85209</v>
      </c>
      <c r="U1740" t="str">
        <f>""</f>
        <v/>
      </c>
      <c r="V1740" t="s">
        <v>6120</v>
      </c>
      <c r="X1740" t="s">
        <v>979</v>
      </c>
      <c r="Y1740" t="s">
        <v>36</v>
      </c>
      <c r="Z1740" t="str">
        <f>"85209"</f>
        <v>85209</v>
      </c>
      <c r="AA1740" t="str">
        <f>""</f>
        <v/>
      </c>
      <c r="AB1740" t="s">
        <v>282</v>
      </c>
    </row>
    <row r="1741" spans="1:28" x14ac:dyDescent="0.25">
      <c r="A1741">
        <v>10970</v>
      </c>
      <c r="B1741" t="str">
        <f>"138755000"</f>
        <v>138755000</v>
      </c>
      <c r="C1741" t="s">
        <v>6121</v>
      </c>
      <c r="D1741">
        <v>0</v>
      </c>
      <c r="E1741" t="str">
        <f>""</f>
        <v/>
      </c>
      <c r="G1741" t="s">
        <v>29</v>
      </c>
      <c r="H1741" t="s">
        <v>6122</v>
      </c>
      <c r="I1741" t="s">
        <v>6123</v>
      </c>
      <c r="J1741" t="s">
        <v>6124</v>
      </c>
      <c r="K1741" t="str">
        <f>"9287755115"</f>
        <v>9287755115</v>
      </c>
      <c r="L1741" t="str">
        <f>""</f>
        <v/>
      </c>
      <c r="M1741" t="str">
        <f>""</f>
        <v/>
      </c>
      <c r="N1741" t="str">
        <f>""</f>
        <v/>
      </c>
      <c r="O1741" t="s">
        <v>6125</v>
      </c>
      <c r="P1741" t="s">
        <v>6126</v>
      </c>
      <c r="R1741" t="s">
        <v>5277</v>
      </c>
      <c r="S1741" t="s">
        <v>36</v>
      </c>
      <c r="T1741" t="str">
        <f>"86314"</f>
        <v>86314</v>
      </c>
      <c r="U1741" t="str">
        <f>""</f>
        <v/>
      </c>
      <c r="V1741" t="s">
        <v>6126</v>
      </c>
      <c r="X1741" t="s">
        <v>5277</v>
      </c>
      <c r="Y1741" t="s">
        <v>36</v>
      </c>
      <c r="Z1741" t="str">
        <f>"86314"</f>
        <v>86314</v>
      </c>
      <c r="AA1741" t="str">
        <f>""</f>
        <v/>
      </c>
      <c r="AB1741" t="s">
        <v>821</v>
      </c>
    </row>
    <row r="1742" spans="1:28" x14ac:dyDescent="0.25">
      <c r="A1742">
        <v>10970</v>
      </c>
      <c r="B1742" t="str">
        <f>"138755000"</f>
        <v>138755000</v>
      </c>
      <c r="C1742" t="s">
        <v>6121</v>
      </c>
      <c r="D1742">
        <v>78816</v>
      </c>
      <c r="E1742" t="str">
        <f>"138755101"</f>
        <v>138755101</v>
      </c>
      <c r="F1742" t="s">
        <v>6127</v>
      </c>
      <c r="G1742" t="s">
        <v>42</v>
      </c>
      <c r="H1742" t="s">
        <v>1944</v>
      </c>
      <c r="I1742" t="s">
        <v>6128</v>
      </c>
      <c r="J1742" t="s">
        <v>3787</v>
      </c>
      <c r="K1742" t="str">
        <f>"9287755115"</f>
        <v>9287755115</v>
      </c>
      <c r="L1742" t="str">
        <f>""</f>
        <v/>
      </c>
      <c r="M1742" t="str">
        <f>"9287755115"</f>
        <v>9287755115</v>
      </c>
      <c r="N1742" t="str">
        <f>""</f>
        <v/>
      </c>
      <c r="O1742" t="s">
        <v>6129</v>
      </c>
      <c r="P1742" t="s">
        <v>6126</v>
      </c>
      <c r="R1742" t="s">
        <v>5277</v>
      </c>
      <c r="S1742" t="s">
        <v>36</v>
      </c>
      <c r="T1742" t="str">
        <f>"86314"</f>
        <v>86314</v>
      </c>
      <c r="U1742" t="str">
        <f>""</f>
        <v/>
      </c>
      <c r="V1742" t="s">
        <v>6126</v>
      </c>
      <c r="X1742" t="s">
        <v>5277</v>
      </c>
      <c r="Y1742" t="s">
        <v>36</v>
      </c>
      <c r="Z1742" t="str">
        <f>"86314"</f>
        <v>86314</v>
      </c>
      <c r="AA1742" t="str">
        <f>""</f>
        <v/>
      </c>
      <c r="AB1742" t="s">
        <v>821</v>
      </c>
    </row>
    <row r="1743" spans="1:28" x14ac:dyDescent="0.25">
      <c r="A1743">
        <v>10970</v>
      </c>
      <c r="B1743" t="str">
        <f>"138755000"</f>
        <v>138755000</v>
      </c>
      <c r="C1743" t="s">
        <v>6121</v>
      </c>
      <c r="D1743">
        <v>92234</v>
      </c>
      <c r="E1743" t="str">
        <f>"138755102"</f>
        <v>138755102</v>
      </c>
      <c r="F1743" t="s">
        <v>6130</v>
      </c>
      <c r="G1743" t="s">
        <v>42</v>
      </c>
      <c r="H1743" t="s">
        <v>1944</v>
      </c>
      <c r="I1743" t="s">
        <v>6128</v>
      </c>
      <c r="J1743" t="s">
        <v>6131</v>
      </c>
      <c r="K1743" t="str">
        <f>"9287755115"</f>
        <v>9287755115</v>
      </c>
      <c r="L1743" t="str">
        <f>""</f>
        <v/>
      </c>
      <c r="M1743" t="str">
        <f>""</f>
        <v/>
      </c>
      <c r="N1743" t="str">
        <f>""</f>
        <v/>
      </c>
      <c r="O1743" t="s">
        <v>6129</v>
      </c>
      <c r="P1743" t="s">
        <v>6126</v>
      </c>
      <c r="R1743" t="s">
        <v>5277</v>
      </c>
      <c r="S1743" t="s">
        <v>36</v>
      </c>
      <c r="T1743" t="str">
        <f>"86314"</f>
        <v>86314</v>
      </c>
      <c r="U1743" t="str">
        <f>""</f>
        <v/>
      </c>
      <c r="V1743" t="s">
        <v>6126</v>
      </c>
      <c r="X1743" t="s">
        <v>5277</v>
      </c>
      <c r="Y1743" t="s">
        <v>36</v>
      </c>
      <c r="Z1743" t="str">
        <f>"86314"</f>
        <v>86314</v>
      </c>
      <c r="AA1743" t="str">
        <f>""</f>
        <v/>
      </c>
      <c r="AB1743" t="s">
        <v>821</v>
      </c>
    </row>
    <row r="1744" spans="1:28" x14ac:dyDescent="0.25">
      <c r="A1744">
        <v>78760</v>
      </c>
      <c r="B1744" t="str">
        <f>"093905000"</f>
        <v>093905000</v>
      </c>
      <c r="C1744" t="s">
        <v>6132</v>
      </c>
      <c r="D1744">
        <v>0</v>
      </c>
      <c r="E1744" t="str">
        <f>""</f>
        <v/>
      </c>
      <c r="G1744" t="s">
        <v>29</v>
      </c>
      <c r="H1744" t="s">
        <v>6133</v>
      </c>
      <c r="I1744" t="s">
        <v>6134</v>
      </c>
      <c r="J1744" t="s">
        <v>6135</v>
      </c>
      <c r="K1744" t="str">
        <f>"9283384464"</f>
        <v>9283384464</v>
      </c>
      <c r="L1744" t="str">
        <f>""</f>
        <v/>
      </c>
      <c r="M1744" t="str">
        <f>"9283381009"</f>
        <v>9283381009</v>
      </c>
      <c r="N1744" t="str">
        <f>""</f>
        <v/>
      </c>
      <c r="O1744" t="s">
        <v>6136</v>
      </c>
      <c r="P1744" t="s">
        <v>6137</v>
      </c>
      <c r="R1744" t="s">
        <v>6138</v>
      </c>
      <c r="S1744" t="s">
        <v>36</v>
      </c>
      <c r="T1744" t="str">
        <f>"85926"</f>
        <v>85926</v>
      </c>
      <c r="U1744" t="str">
        <f>""</f>
        <v/>
      </c>
      <c r="V1744" t="s">
        <v>6139</v>
      </c>
      <c r="X1744" t="s">
        <v>6138</v>
      </c>
      <c r="Y1744" t="s">
        <v>36</v>
      </c>
      <c r="Z1744" t="str">
        <f>"85926"</f>
        <v>85926</v>
      </c>
      <c r="AA1744" t="str">
        <f>""</f>
        <v/>
      </c>
      <c r="AB1744" t="s">
        <v>56</v>
      </c>
    </row>
    <row r="1745" spans="1:28" x14ac:dyDescent="0.25">
      <c r="A1745">
        <v>78760</v>
      </c>
      <c r="B1745" t="str">
        <f>"093905000"</f>
        <v>093905000</v>
      </c>
      <c r="C1745" t="s">
        <v>6132</v>
      </c>
      <c r="D1745">
        <v>78761</v>
      </c>
      <c r="E1745" t="str">
        <f>"104001006"</f>
        <v>104001006</v>
      </c>
      <c r="F1745" t="s">
        <v>6132</v>
      </c>
      <c r="G1745" t="s">
        <v>42</v>
      </c>
      <c r="H1745" t="s">
        <v>6133</v>
      </c>
      <c r="I1745" t="s">
        <v>6134</v>
      </c>
      <c r="J1745" t="s">
        <v>6135</v>
      </c>
      <c r="K1745" t="str">
        <f>"9283384464"</f>
        <v>9283384464</v>
      </c>
      <c r="L1745" t="str">
        <f>""</f>
        <v/>
      </c>
      <c r="M1745" t="str">
        <f>"9283381009"</f>
        <v>9283381009</v>
      </c>
      <c r="N1745" t="str">
        <f>""</f>
        <v/>
      </c>
      <c r="O1745" t="s">
        <v>6136</v>
      </c>
      <c r="P1745" t="s">
        <v>6137</v>
      </c>
      <c r="R1745" t="s">
        <v>6138</v>
      </c>
      <c r="S1745" t="s">
        <v>36</v>
      </c>
      <c r="T1745" t="str">
        <f>"85926"</f>
        <v>85926</v>
      </c>
      <c r="U1745" t="str">
        <f>""</f>
        <v/>
      </c>
      <c r="V1745" t="s">
        <v>6139</v>
      </c>
      <c r="X1745" t="s">
        <v>6140</v>
      </c>
      <c r="Y1745" t="s">
        <v>36</v>
      </c>
      <c r="Z1745" t="str">
        <f>"85926"</f>
        <v>85926</v>
      </c>
      <c r="AA1745" t="str">
        <f>""</f>
        <v/>
      </c>
      <c r="AB1745" t="s">
        <v>56</v>
      </c>
    </row>
    <row r="1746" spans="1:28" x14ac:dyDescent="0.25">
      <c r="A1746">
        <v>78783</v>
      </c>
      <c r="B1746" t="str">
        <f>"078785000"</f>
        <v>078785000</v>
      </c>
      <c r="C1746" t="s">
        <v>6141</v>
      </c>
      <c r="D1746">
        <v>0</v>
      </c>
      <c r="E1746" t="str">
        <f>""</f>
        <v/>
      </c>
      <c r="G1746" t="s">
        <v>29</v>
      </c>
      <c r="H1746" t="s">
        <v>6142</v>
      </c>
      <c r="I1746" t="s">
        <v>6143</v>
      </c>
      <c r="J1746" t="s">
        <v>6144</v>
      </c>
      <c r="K1746" t="str">
        <f>"4806643379"</f>
        <v>4806643379</v>
      </c>
      <c r="L1746" t="str">
        <f>"115"</f>
        <v>115</v>
      </c>
      <c r="M1746" t="str">
        <f>""</f>
        <v/>
      </c>
      <c r="N1746" t="str">
        <f>""</f>
        <v/>
      </c>
      <c r="O1746" t="s">
        <v>6145</v>
      </c>
      <c r="P1746" t="s">
        <v>6146</v>
      </c>
      <c r="R1746" t="s">
        <v>1041</v>
      </c>
      <c r="S1746" t="s">
        <v>36</v>
      </c>
      <c r="T1746" t="str">
        <f>"85226"</f>
        <v>85226</v>
      </c>
      <c r="U1746" t="str">
        <f>""</f>
        <v/>
      </c>
      <c r="V1746" t="s">
        <v>6146</v>
      </c>
      <c r="X1746" t="s">
        <v>1041</v>
      </c>
      <c r="Y1746" t="s">
        <v>36</v>
      </c>
      <c r="Z1746" t="str">
        <f>"85226"</f>
        <v>85226</v>
      </c>
      <c r="AA1746" t="str">
        <f>""</f>
        <v/>
      </c>
      <c r="AB1746" t="s">
        <v>86</v>
      </c>
    </row>
    <row r="1747" spans="1:28" x14ac:dyDescent="0.25">
      <c r="A1747">
        <v>78783</v>
      </c>
      <c r="B1747" t="str">
        <f>"078785000"</f>
        <v>078785000</v>
      </c>
      <c r="C1747" t="s">
        <v>6141</v>
      </c>
      <c r="D1747">
        <v>78820</v>
      </c>
      <c r="E1747" t="str">
        <f>"078785101"</f>
        <v>078785101</v>
      </c>
      <c r="F1747" t="s">
        <v>6147</v>
      </c>
      <c r="G1747" t="s">
        <v>42</v>
      </c>
      <c r="H1747" t="s">
        <v>3031</v>
      </c>
      <c r="I1747" t="s">
        <v>6148</v>
      </c>
      <c r="J1747" t="s">
        <v>6149</v>
      </c>
      <c r="K1747" t="str">
        <f>"6023416527"</f>
        <v>6023416527</v>
      </c>
      <c r="L1747" t="str">
        <f>""</f>
        <v/>
      </c>
      <c r="M1747" t="str">
        <f>"6023416529"</f>
        <v>6023416529</v>
      </c>
      <c r="N1747" t="str">
        <f>""</f>
        <v/>
      </c>
      <c r="O1747" t="s">
        <v>6150</v>
      </c>
      <c r="P1747" t="s">
        <v>6151</v>
      </c>
      <c r="R1747" t="s">
        <v>964</v>
      </c>
      <c r="S1747" t="s">
        <v>36</v>
      </c>
      <c r="T1747" t="str">
        <f>"85042"</f>
        <v>85042</v>
      </c>
      <c r="U1747" t="str">
        <f>""</f>
        <v/>
      </c>
      <c r="V1747" t="s">
        <v>6151</v>
      </c>
      <c r="X1747" t="s">
        <v>964</v>
      </c>
      <c r="Y1747" t="s">
        <v>36</v>
      </c>
      <c r="Z1747" t="str">
        <f>"85042"</f>
        <v>85042</v>
      </c>
      <c r="AA1747" t="str">
        <f>""</f>
        <v/>
      </c>
      <c r="AB1747" t="s">
        <v>86</v>
      </c>
    </row>
    <row r="1748" spans="1:28" x14ac:dyDescent="0.25">
      <c r="A1748">
        <v>78783</v>
      </c>
      <c r="B1748" t="str">
        <f>"078785000"</f>
        <v>078785000</v>
      </c>
      <c r="C1748" t="s">
        <v>6141</v>
      </c>
      <c r="D1748">
        <v>92501</v>
      </c>
      <c r="E1748" t="str">
        <f>"078785103"</f>
        <v>078785103</v>
      </c>
      <c r="F1748" t="s">
        <v>6152</v>
      </c>
      <c r="G1748" t="s">
        <v>42</v>
      </c>
      <c r="H1748" t="s">
        <v>6142</v>
      </c>
      <c r="I1748" t="s">
        <v>6143</v>
      </c>
      <c r="J1748" t="s">
        <v>6153</v>
      </c>
      <c r="K1748" t="str">
        <f>"4806643379"</f>
        <v>4806643379</v>
      </c>
      <c r="L1748" t="str">
        <f>""</f>
        <v/>
      </c>
      <c r="M1748" t="str">
        <f>"4806566445"</f>
        <v>4806566445</v>
      </c>
      <c r="N1748" t="str">
        <f>""</f>
        <v/>
      </c>
      <c r="O1748" t="s">
        <v>6145</v>
      </c>
      <c r="P1748" t="s">
        <v>6146</v>
      </c>
      <c r="R1748" t="s">
        <v>1041</v>
      </c>
      <c r="S1748" t="s">
        <v>36</v>
      </c>
      <c r="T1748" t="str">
        <f>"85225"</f>
        <v>85225</v>
      </c>
      <c r="U1748" t="str">
        <f>""</f>
        <v/>
      </c>
      <c r="V1748" t="s">
        <v>6146</v>
      </c>
      <c r="X1748" t="s">
        <v>1041</v>
      </c>
      <c r="Y1748" t="s">
        <v>36</v>
      </c>
      <c r="Z1748" t="str">
        <f>"85225"</f>
        <v>85225</v>
      </c>
      <c r="AA1748" t="str">
        <f>""</f>
        <v/>
      </c>
      <c r="AB1748" t="s">
        <v>86</v>
      </c>
    </row>
    <row r="1749" spans="1:28" x14ac:dyDescent="0.25">
      <c r="A1749">
        <v>78783</v>
      </c>
      <c r="B1749" t="str">
        <f>"078785000"</f>
        <v>078785000</v>
      </c>
      <c r="C1749" t="s">
        <v>6141</v>
      </c>
      <c r="D1749">
        <v>460111</v>
      </c>
      <c r="E1749" t="str">
        <f>"078785104"</f>
        <v>078785104</v>
      </c>
      <c r="F1749" t="s">
        <v>6154</v>
      </c>
      <c r="G1749" t="s">
        <v>42</v>
      </c>
      <c r="H1749" t="s">
        <v>388</v>
      </c>
      <c r="I1749" t="s">
        <v>6155</v>
      </c>
      <c r="J1749" t="s">
        <v>6149</v>
      </c>
      <c r="K1749" t="str">
        <f>"4807652223"</f>
        <v>4807652223</v>
      </c>
      <c r="L1749" t="str">
        <f>""</f>
        <v/>
      </c>
      <c r="M1749" t="str">
        <f>""</f>
        <v/>
      </c>
      <c r="N1749" t="str">
        <f>""</f>
        <v/>
      </c>
      <c r="O1749" t="s">
        <v>6156</v>
      </c>
      <c r="P1749" t="s">
        <v>6157</v>
      </c>
      <c r="R1749" t="s">
        <v>4784</v>
      </c>
      <c r="S1749" t="s">
        <v>36</v>
      </c>
      <c r="T1749" t="str">
        <f>"85143"</f>
        <v>85143</v>
      </c>
      <c r="U1749" t="str">
        <f>""</f>
        <v/>
      </c>
      <c r="V1749" t="s">
        <v>6157</v>
      </c>
      <c r="X1749" t="s">
        <v>4784</v>
      </c>
      <c r="Y1749" t="s">
        <v>36</v>
      </c>
      <c r="Z1749" t="str">
        <f>"85143"</f>
        <v>85143</v>
      </c>
      <c r="AA1749" t="str">
        <f>""</f>
        <v/>
      </c>
      <c r="AB1749" t="s">
        <v>86</v>
      </c>
    </row>
    <row r="1750" spans="1:28" x14ac:dyDescent="0.25">
      <c r="A1750">
        <v>78882</v>
      </c>
      <c r="B1750" t="str">
        <f>"078760000"</f>
        <v>078760000</v>
      </c>
      <c r="C1750" t="s">
        <v>6158</v>
      </c>
      <c r="D1750">
        <v>0</v>
      </c>
      <c r="E1750" t="str">
        <f>""</f>
        <v/>
      </c>
      <c r="G1750" t="s">
        <v>29</v>
      </c>
      <c r="H1750" t="s">
        <v>6159</v>
      </c>
      <c r="I1750" t="s">
        <v>399</v>
      </c>
      <c r="J1750" t="s">
        <v>6135</v>
      </c>
      <c r="K1750" t="str">
        <f>"6022389577"</f>
        <v>6022389577</v>
      </c>
      <c r="L1750" t="str">
        <f>""</f>
        <v/>
      </c>
      <c r="M1750" t="str">
        <f>"6022389210"</f>
        <v>6022389210</v>
      </c>
      <c r="N1750" t="str">
        <f>""</f>
        <v/>
      </c>
      <c r="O1750" t="s">
        <v>6160</v>
      </c>
      <c r="P1750" t="s">
        <v>6161</v>
      </c>
      <c r="R1750" t="s">
        <v>964</v>
      </c>
      <c r="S1750" t="s">
        <v>36</v>
      </c>
      <c r="T1750" t="str">
        <f>"85014"</f>
        <v>85014</v>
      </c>
      <c r="U1750" t="str">
        <f>""</f>
        <v/>
      </c>
      <c r="V1750" t="s">
        <v>6161</v>
      </c>
      <c r="X1750" t="s">
        <v>964</v>
      </c>
      <c r="Y1750" t="s">
        <v>36</v>
      </c>
      <c r="Z1750" t="str">
        <f>"85014"</f>
        <v>85014</v>
      </c>
      <c r="AA1750" t="str">
        <f>""</f>
        <v/>
      </c>
      <c r="AB1750" t="s">
        <v>632</v>
      </c>
    </row>
    <row r="1751" spans="1:28" x14ac:dyDescent="0.25">
      <c r="A1751">
        <v>78882</v>
      </c>
      <c r="B1751" t="str">
        <f>"078760000"</f>
        <v>078760000</v>
      </c>
      <c r="C1751" t="s">
        <v>6158</v>
      </c>
      <c r="D1751">
        <v>78883</v>
      </c>
      <c r="E1751" t="str">
        <f>"078760001"</f>
        <v>078760001</v>
      </c>
      <c r="F1751" t="s">
        <v>6158</v>
      </c>
      <c r="G1751" t="s">
        <v>42</v>
      </c>
      <c r="H1751" t="s">
        <v>6159</v>
      </c>
      <c r="I1751" t="s">
        <v>399</v>
      </c>
      <c r="J1751" t="s">
        <v>6135</v>
      </c>
      <c r="K1751" t="str">
        <f>"6022389577"</f>
        <v>6022389577</v>
      </c>
      <c r="L1751" t="str">
        <f>""</f>
        <v/>
      </c>
      <c r="M1751" t="str">
        <f>"6022389510"</f>
        <v>6022389510</v>
      </c>
      <c r="N1751" t="str">
        <f>""</f>
        <v/>
      </c>
      <c r="O1751" t="s">
        <v>6162</v>
      </c>
      <c r="P1751" t="s">
        <v>6163</v>
      </c>
      <c r="R1751" t="s">
        <v>964</v>
      </c>
      <c r="S1751" t="s">
        <v>36</v>
      </c>
      <c r="T1751" t="str">
        <f>"85014"</f>
        <v>85014</v>
      </c>
      <c r="U1751" t="str">
        <f>"5806"</f>
        <v>5806</v>
      </c>
      <c r="V1751" t="s">
        <v>6163</v>
      </c>
      <c r="X1751" t="s">
        <v>964</v>
      </c>
      <c r="Y1751" t="s">
        <v>36</v>
      </c>
      <c r="Z1751" t="str">
        <f>"85014"</f>
        <v>85014</v>
      </c>
      <c r="AA1751" t="str">
        <f>"5806"</f>
        <v>5806</v>
      </c>
      <c r="AB1751" t="s">
        <v>632</v>
      </c>
    </row>
    <row r="1752" spans="1:28" x14ac:dyDescent="0.25">
      <c r="A1752">
        <v>78882</v>
      </c>
      <c r="B1752" t="str">
        <f>"078760000"</f>
        <v>078760000</v>
      </c>
      <c r="C1752" t="s">
        <v>6158</v>
      </c>
      <c r="D1752">
        <v>91213</v>
      </c>
      <c r="E1752" t="str">
        <f>"078504202"</f>
        <v>078504202</v>
      </c>
      <c r="F1752" t="s">
        <v>6164</v>
      </c>
      <c r="G1752" t="s">
        <v>42</v>
      </c>
      <c r="H1752" t="s">
        <v>6159</v>
      </c>
      <c r="I1752" t="s">
        <v>399</v>
      </c>
      <c r="J1752" t="s">
        <v>6135</v>
      </c>
      <c r="K1752" t="str">
        <f>"6022389577"</f>
        <v>6022389577</v>
      </c>
      <c r="L1752" t="str">
        <f>""</f>
        <v/>
      </c>
      <c r="M1752" t="str">
        <f>"6022389210"</f>
        <v>6022389210</v>
      </c>
      <c r="N1752" t="str">
        <f>""</f>
        <v/>
      </c>
      <c r="O1752" t="s">
        <v>6160</v>
      </c>
      <c r="P1752" t="s">
        <v>6163</v>
      </c>
      <c r="R1752" t="s">
        <v>964</v>
      </c>
      <c r="S1752" t="s">
        <v>36</v>
      </c>
      <c r="T1752" t="str">
        <f>"85014"</f>
        <v>85014</v>
      </c>
      <c r="U1752" t="str">
        <f>""</f>
        <v/>
      </c>
      <c r="V1752" t="s">
        <v>6163</v>
      </c>
      <c r="X1752" t="s">
        <v>964</v>
      </c>
      <c r="Y1752" t="s">
        <v>36</v>
      </c>
      <c r="Z1752" t="str">
        <f>"85014"</f>
        <v>85014</v>
      </c>
      <c r="AA1752" t="str">
        <f>""</f>
        <v/>
      </c>
      <c r="AB1752" t="s">
        <v>632</v>
      </c>
    </row>
    <row r="1753" spans="1:28" x14ac:dyDescent="0.25">
      <c r="A1753">
        <v>78965</v>
      </c>
      <c r="B1753" t="str">
        <f>"078765000"</f>
        <v>078765000</v>
      </c>
      <c r="C1753" t="s">
        <v>6165</v>
      </c>
      <c r="D1753">
        <v>0</v>
      </c>
      <c r="E1753" t="str">
        <f>""</f>
        <v/>
      </c>
      <c r="G1753" t="s">
        <v>29</v>
      </c>
      <c r="H1753" t="s">
        <v>3744</v>
      </c>
      <c r="I1753" t="s">
        <v>590</v>
      </c>
      <c r="J1753" t="s">
        <v>6166</v>
      </c>
      <c r="K1753" t="str">
        <f>"6029532933"</f>
        <v>6029532933</v>
      </c>
      <c r="L1753" t="str">
        <f>""</f>
        <v/>
      </c>
      <c r="M1753" t="str">
        <f>"6029530831"</f>
        <v>6029530831</v>
      </c>
      <c r="N1753" t="str">
        <f>""</f>
        <v/>
      </c>
      <c r="O1753" t="s">
        <v>3746</v>
      </c>
      <c r="P1753" t="s">
        <v>3747</v>
      </c>
      <c r="R1753" t="s">
        <v>964</v>
      </c>
      <c r="S1753" t="s">
        <v>36</v>
      </c>
      <c r="T1753" t="str">
        <f>"85020"</f>
        <v>85020</v>
      </c>
      <c r="U1753" t="str">
        <f>""</f>
        <v/>
      </c>
      <c r="V1753" t="s">
        <v>3747</v>
      </c>
      <c r="X1753" t="s">
        <v>964</v>
      </c>
      <c r="Y1753" t="s">
        <v>36</v>
      </c>
      <c r="Z1753" t="str">
        <f>"85020"</f>
        <v>85020</v>
      </c>
      <c r="AA1753" t="str">
        <f>""</f>
        <v/>
      </c>
      <c r="AB1753" t="s">
        <v>1466</v>
      </c>
    </row>
    <row r="1754" spans="1:28" x14ac:dyDescent="0.25">
      <c r="A1754">
        <v>78965</v>
      </c>
      <c r="B1754" t="str">
        <f>"078765000"</f>
        <v>078765000</v>
      </c>
      <c r="C1754" t="s">
        <v>6165</v>
      </c>
      <c r="D1754">
        <v>79178</v>
      </c>
      <c r="E1754" t="str">
        <f>"078765103"</f>
        <v>078765103</v>
      </c>
      <c r="F1754" t="s">
        <v>6167</v>
      </c>
      <c r="G1754" t="s">
        <v>42</v>
      </c>
      <c r="H1754" t="s">
        <v>2020</v>
      </c>
      <c r="I1754" t="s">
        <v>5061</v>
      </c>
      <c r="J1754" t="s">
        <v>301</v>
      </c>
      <c r="K1754" t="str">
        <f>"6022683782"</f>
        <v>6022683782</v>
      </c>
      <c r="L1754" t="str">
        <f>""</f>
        <v/>
      </c>
      <c r="M1754" t="str">
        <f>"6022684863"</f>
        <v>6022684863</v>
      </c>
      <c r="N1754" t="str">
        <f>""</f>
        <v/>
      </c>
      <c r="O1754" t="s">
        <v>6168</v>
      </c>
      <c r="P1754" t="s">
        <v>6169</v>
      </c>
      <c r="R1754" t="s">
        <v>964</v>
      </c>
      <c r="S1754" t="s">
        <v>36</v>
      </c>
      <c r="T1754" t="str">
        <f>"85042"</f>
        <v>85042</v>
      </c>
      <c r="U1754" t="str">
        <f>""</f>
        <v/>
      </c>
      <c r="V1754" t="s">
        <v>6169</v>
      </c>
      <c r="X1754" t="s">
        <v>964</v>
      </c>
      <c r="Y1754" t="s">
        <v>36</v>
      </c>
      <c r="Z1754" t="str">
        <f>"85042"</f>
        <v>85042</v>
      </c>
      <c r="AA1754" t="str">
        <f>""</f>
        <v/>
      </c>
      <c r="AB1754" t="s">
        <v>1466</v>
      </c>
    </row>
    <row r="1755" spans="1:28" x14ac:dyDescent="0.25">
      <c r="A1755">
        <v>78992</v>
      </c>
      <c r="B1755" t="str">
        <f>"014002000"</f>
        <v>014002000</v>
      </c>
      <c r="C1755" t="s">
        <v>6170</v>
      </c>
      <c r="D1755">
        <v>0</v>
      </c>
      <c r="E1755" t="str">
        <f>""</f>
        <v/>
      </c>
      <c r="G1755" t="s">
        <v>29</v>
      </c>
      <c r="H1755" t="s">
        <v>388</v>
      </c>
      <c r="I1755" t="s">
        <v>6171</v>
      </c>
      <c r="J1755" t="s">
        <v>6172</v>
      </c>
      <c r="K1755" t="str">
        <f>"9287816337"</f>
        <v>9287816337</v>
      </c>
      <c r="L1755" t="str">
        <f>""</f>
        <v/>
      </c>
      <c r="M1755" t="str">
        <f>"9287816226"</f>
        <v>9287816226</v>
      </c>
      <c r="N1755" t="str">
        <f>""</f>
        <v/>
      </c>
      <c r="O1755" t="s">
        <v>6173</v>
      </c>
      <c r="P1755" t="s">
        <v>6174</v>
      </c>
      <c r="R1755" t="s">
        <v>6175</v>
      </c>
      <c r="S1755" t="s">
        <v>36</v>
      </c>
      <c r="T1755" t="str">
        <f>"86538"</f>
        <v>86538</v>
      </c>
      <c r="U1755" t="str">
        <f>"0307"</f>
        <v>0307</v>
      </c>
      <c r="V1755" t="s">
        <v>6176</v>
      </c>
      <c r="X1755" t="s">
        <v>6175</v>
      </c>
      <c r="Y1755" t="s">
        <v>36</v>
      </c>
      <c r="Z1755" t="str">
        <f>"86538"</f>
        <v>86538</v>
      </c>
      <c r="AA1755" t="str">
        <f>"0307"</f>
        <v>0307</v>
      </c>
      <c r="AB1755" t="s">
        <v>124</v>
      </c>
    </row>
    <row r="1756" spans="1:28" x14ac:dyDescent="0.25">
      <c r="A1756">
        <v>78992</v>
      </c>
      <c r="B1756" t="str">
        <f>"014002000"</f>
        <v>014002000</v>
      </c>
      <c r="C1756" t="s">
        <v>6170</v>
      </c>
      <c r="D1756">
        <v>78993</v>
      </c>
      <c r="E1756" t="str">
        <f>"014005006"</f>
        <v>014005006</v>
      </c>
      <c r="F1756" t="s">
        <v>6170</v>
      </c>
      <c r="G1756" t="s">
        <v>42</v>
      </c>
      <c r="H1756" t="s">
        <v>388</v>
      </c>
      <c r="I1756" t="s">
        <v>6171</v>
      </c>
      <c r="J1756" t="s">
        <v>6172</v>
      </c>
      <c r="K1756" t="str">
        <f>"9287816337"</f>
        <v>9287816337</v>
      </c>
      <c r="L1756" t="str">
        <f>"5340"</f>
        <v>5340</v>
      </c>
      <c r="M1756" t="str">
        <f>"9287816335"</f>
        <v>9287816335</v>
      </c>
      <c r="N1756" t="str">
        <f>""</f>
        <v/>
      </c>
      <c r="O1756" t="s">
        <v>6173</v>
      </c>
      <c r="P1756" t="s">
        <v>6177</v>
      </c>
      <c r="R1756" t="s">
        <v>6175</v>
      </c>
      <c r="S1756" t="s">
        <v>36</v>
      </c>
      <c r="T1756" t="str">
        <f>"86538"</f>
        <v>86538</v>
      </c>
      <c r="U1756" t="str">
        <f>"0307"</f>
        <v>0307</v>
      </c>
      <c r="V1756" t="s">
        <v>6176</v>
      </c>
      <c r="X1756" t="s">
        <v>6175</v>
      </c>
      <c r="Y1756" t="s">
        <v>36</v>
      </c>
      <c r="Z1756" t="str">
        <f>"86538"</f>
        <v>86538</v>
      </c>
      <c r="AA1756" t="str">
        <f>"0307"</f>
        <v>0307</v>
      </c>
      <c r="AB1756" t="s">
        <v>124</v>
      </c>
    </row>
    <row r="1757" spans="1:28" x14ac:dyDescent="0.25">
      <c r="A1757">
        <v>79024</v>
      </c>
      <c r="B1757" t="str">
        <f>"078792000"</f>
        <v>078792000</v>
      </c>
      <c r="C1757" t="s">
        <v>6178</v>
      </c>
      <c r="D1757">
        <v>0</v>
      </c>
      <c r="E1757" t="str">
        <f>""</f>
        <v/>
      </c>
      <c r="G1757" t="s">
        <v>29</v>
      </c>
      <c r="H1757" t="s">
        <v>6179</v>
      </c>
      <c r="I1757" t="s">
        <v>6180</v>
      </c>
      <c r="J1757" t="s">
        <v>6181</v>
      </c>
      <c r="K1757" t="str">
        <f>"4805007059"</f>
        <v>4805007059</v>
      </c>
      <c r="L1757" t="str">
        <f>""</f>
        <v/>
      </c>
      <c r="M1757" t="str">
        <f>""</f>
        <v/>
      </c>
      <c r="N1757" t="str">
        <f>""</f>
        <v/>
      </c>
      <c r="O1757" t="s">
        <v>6182</v>
      </c>
      <c r="P1757" t="s">
        <v>6183</v>
      </c>
      <c r="R1757" t="s">
        <v>964</v>
      </c>
      <c r="S1757" t="s">
        <v>36</v>
      </c>
      <c r="T1757" t="str">
        <f>"85035"</f>
        <v>85035</v>
      </c>
      <c r="U1757" t="str">
        <f>""</f>
        <v/>
      </c>
      <c r="V1757" t="s">
        <v>6183</v>
      </c>
      <c r="X1757" t="s">
        <v>964</v>
      </c>
      <c r="Y1757" t="s">
        <v>36</v>
      </c>
      <c r="Z1757" t="str">
        <f>"85035"</f>
        <v>85035</v>
      </c>
      <c r="AA1757" t="str">
        <f>""</f>
        <v/>
      </c>
      <c r="AB1757" t="s">
        <v>1166</v>
      </c>
    </row>
    <row r="1758" spans="1:28" x14ac:dyDescent="0.25">
      <c r="A1758">
        <v>79024</v>
      </c>
      <c r="B1758" t="str">
        <f>"078792000"</f>
        <v>078792000</v>
      </c>
      <c r="C1758" t="s">
        <v>6178</v>
      </c>
      <c r="D1758">
        <v>79509</v>
      </c>
      <c r="E1758" t="str">
        <f>"078792101"</f>
        <v>078792101</v>
      </c>
      <c r="F1758" t="s">
        <v>6184</v>
      </c>
      <c r="G1758" t="s">
        <v>42</v>
      </c>
      <c r="H1758" t="s">
        <v>6185</v>
      </c>
      <c r="I1758" t="s">
        <v>1966</v>
      </c>
      <c r="J1758" t="s">
        <v>301</v>
      </c>
      <c r="K1758" t="str">
        <f>"6025899840"</f>
        <v>6025899840</v>
      </c>
      <c r="L1758" t="str">
        <f>"1854"</f>
        <v>1854</v>
      </c>
      <c r="M1758" t="str">
        <f>"6025899841"</f>
        <v>6025899841</v>
      </c>
      <c r="N1758" t="str">
        <f>""</f>
        <v/>
      </c>
      <c r="O1758" t="s">
        <v>6186</v>
      </c>
      <c r="P1758" t="s">
        <v>6183</v>
      </c>
      <c r="R1758" t="s">
        <v>964</v>
      </c>
      <c r="S1758" t="s">
        <v>36</v>
      </c>
      <c r="T1758" t="str">
        <f>"85035"</f>
        <v>85035</v>
      </c>
      <c r="U1758" t="str">
        <f>""</f>
        <v/>
      </c>
      <c r="V1758" t="s">
        <v>6187</v>
      </c>
      <c r="X1758" t="s">
        <v>964</v>
      </c>
      <c r="Y1758" t="s">
        <v>36</v>
      </c>
      <c r="Z1758" t="str">
        <f>"85051"</f>
        <v>85051</v>
      </c>
      <c r="AA1758" t="str">
        <f>""</f>
        <v/>
      </c>
      <c r="AB1758" t="s">
        <v>1166</v>
      </c>
    </row>
    <row r="1759" spans="1:28" x14ac:dyDescent="0.25">
      <c r="A1759">
        <v>79049</v>
      </c>
      <c r="B1759" t="str">
        <f>"108666000"</f>
        <v>108666000</v>
      </c>
      <c r="C1759" t="s">
        <v>6188</v>
      </c>
      <c r="D1759">
        <v>0</v>
      </c>
      <c r="E1759" t="str">
        <f>""</f>
        <v/>
      </c>
      <c r="G1759" t="s">
        <v>29</v>
      </c>
      <c r="H1759" t="s">
        <v>6189</v>
      </c>
      <c r="I1759" t="s">
        <v>6190</v>
      </c>
      <c r="J1759" t="s">
        <v>301</v>
      </c>
      <c r="K1759" t="str">
        <f>"5206653400"</f>
        <v>5206653400</v>
      </c>
      <c r="L1759" t="str">
        <f>""</f>
        <v/>
      </c>
      <c r="M1759" t="str">
        <f>"5206653420"</f>
        <v>5206653420</v>
      </c>
      <c r="N1759" t="str">
        <f>""</f>
        <v/>
      </c>
      <c r="O1759" t="s">
        <v>6191</v>
      </c>
      <c r="P1759" t="s">
        <v>6192</v>
      </c>
      <c r="R1759" t="s">
        <v>4169</v>
      </c>
      <c r="S1759" t="s">
        <v>36</v>
      </c>
      <c r="T1759" t="str">
        <f>"85741"</f>
        <v>85741</v>
      </c>
      <c r="U1759" t="str">
        <f>""</f>
        <v/>
      </c>
      <c r="V1759" t="s">
        <v>6192</v>
      </c>
      <c r="X1759" t="s">
        <v>4169</v>
      </c>
      <c r="Y1759" t="s">
        <v>36</v>
      </c>
      <c r="Z1759" t="str">
        <f>"85741"</f>
        <v>85741</v>
      </c>
      <c r="AA1759" t="str">
        <f>""</f>
        <v/>
      </c>
      <c r="AB1759" t="s">
        <v>821</v>
      </c>
    </row>
    <row r="1760" spans="1:28" x14ac:dyDescent="0.25">
      <c r="A1760">
        <v>79049</v>
      </c>
      <c r="B1760" t="str">
        <f>"108666000"</f>
        <v>108666000</v>
      </c>
      <c r="C1760" t="s">
        <v>6188</v>
      </c>
      <c r="D1760">
        <v>79127</v>
      </c>
      <c r="E1760" t="str">
        <f>"108666001"</f>
        <v>108666001</v>
      </c>
      <c r="F1760" t="s">
        <v>6193</v>
      </c>
      <c r="G1760" t="s">
        <v>42</v>
      </c>
      <c r="H1760" t="s">
        <v>6189</v>
      </c>
      <c r="I1760" t="s">
        <v>6190</v>
      </c>
      <c r="J1760" t="s">
        <v>6194</v>
      </c>
      <c r="K1760" t="str">
        <f>"5206653400"</f>
        <v>5206653400</v>
      </c>
      <c r="L1760" t="str">
        <f>"206"</f>
        <v>206</v>
      </c>
      <c r="M1760" t="str">
        <f>"5206653420"</f>
        <v>5206653420</v>
      </c>
      <c r="N1760" t="str">
        <f>""</f>
        <v/>
      </c>
      <c r="O1760" t="s">
        <v>6191</v>
      </c>
      <c r="P1760" t="s">
        <v>6192</v>
      </c>
      <c r="R1760" t="s">
        <v>4169</v>
      </c>
      <c r="S1760" t="s">
        <v>36</v>
      </c>
      <c r="T1760" t="str">
        <f>"85741"</f>
        <v>85741</v>
      </c>
      <c r="U1760" t="str">
        <f>""</f>
        <v/>
      </c>
      <c r="V1760" t="s">
        <v>6192</v>
      </c>
      <c r="X1760" t="s">
        <v>4169</v>
      </c>
      <c r="Y1760" t="s">
        <v>36</v>
      </c>
      <c r="Z1760" t="str">
        <f>"85741"</f>
        <v>85741</v>
      </c>
      <c r="AA1760" t="str">
        <f>""</f>
        <v/>
      </c>
      <c r="AB1760" t="s">
        <v>821</v>
      </c>
    </row>
    <row r="1761" spans="1:28" x14ac:dyDescent="0.25">
      <c r="A1761">
        <v>79055</v>
      </c>
      <c r="B1761" t="str">
        <f>"078909000"</f>
        <v>078909000</v>
      </c>
      <c r="C1761" t="s">
        <v>6195</v>
      </c>
      <c r="D1761">
        <v>0</v>
      </c>
      <c r="E1761" t="str">
        <f>""</f>
        <v/>
      </c>
      <c r="G1761" t="s">
        <v>29</v>
      </c>
      <c r="H1761" t="s">
        <v>6196</v>
      </c>
      <c r="I1761" t="s">
        <v>6197</v>
      </c>
      <c r="J1761" t="s">
        <v>6198</v>
      </c>
      <c r="K1761" t="str">
        <f>"6235562179"</f>
        <v>6235562179</v>
      </c>
      <c r="L1761" t="str">
        <f>"2545"</f>
        <v>2545</v>
      </c>
      <c r="M1761" t="str">
        <f>"6235562806"</f>
        <v>6235562806</v>
      </c>
      <c r="N1761" t="str">
        <f>""</f>
        <v/>
      </c>
      <c r="O1761" t="s">
        <v>6199</v>
      </c>
      <c r="P1761" t="s">
        <v>6200</v>
      </c>
      <c r="R1761" t="s">
        <v>1806</v>
      </c>
      <c r="S1761" t="s">
        <v>36</v>
      </c>
      <c r="T1761" t="str">
        <f>"85379"</f>
        <v>85379</v>
      </c>
      <c r="U1761" t="str">
        <f>""</f>
        <v/>
      </c>
      <c r="V1761" t="s">
        <v>6200</v>
      </c>
      <c r="X1761" t="s">
        <v>1806</v>
      </c>
      <c r="Y1761" t="s">
        <v>36</v>
      </c>
      <c r="Z1761" t="str">
        <f>"85379"</f>
        <v>85379</v>
      </c>
      <c r="AA1761" t="str">
        <f>""</f>
        <v/>
      </c>
      <c r="AB1761" t="s">
        <v>1990</v>
      </c>
    </row>
    <row r="1762" spans="1:28" x14ac:dyDescent="0.25">
      <c r="A1762">
        <v>79055</v>
      </c>
      <c r="B1762" t="str">
        <f>"078909000"</f>
        <v>078909000</v>
      </c>
      <c r="C1762" t="s">
        <v>6195</v>
      </c>
      <c r="D1762">
        <v>80463</v>
      </c>
      <c r="E1762" t="str">
        <f>"078909102"</f>
        <v>078909102</v>
      </c>
      <c r="F1762" t="s">
        <v>6201</v>
      </c>
      <c r="G1762" t="s">
        <v>42</v>
      </c>
      <c r="H1762" t="s">
        <v>6196</v>
      </c>
      <c r="I1762" t="s">
        <v>6197</v>
      </c>
      <c r="J1762" t="s">
        <v>6198</v>
      </c>
      <c r="K1762" t="str">
        <f>"6235562179"</f>
        <v>6235562179</v>
      </c>
      <c r="L1762" t="str">
        <f>"2545"</f>
        <v>2545</v>
      </c>
      <c r="M1762" t="str">
        <f>"6235562806"</f>
        <v>6235562806</v>
      </c>
      <c r="N1762" t="str">
        <f>""</f>
        <v/>
      </c>
      <c r="O1762" t="s">
        <v>6202</v>
      </c>
      <c r="P1762" t="s">
        <v>6203</v>
      </c>
      <c r="R1762" t="s">
        <v>1806</v>
      </c>
      <c r="S1762" t="s">
        <v>36</v>
      </c>
      <c r="T1762" t="str">
        <f>"85379"</f>
        <v>85379</v>
      </c>
      <c r="U1762" t="str">
        <f>""</f>
        <v/>
      </c>
      <c r="V1762" t="s">
        <v>6203</v>
      </c>
      <c r="X1762" t="s">
        <v>1806</v>
      </c>
      <c r="Y1762" t="s">
        <v>36</v>
      </c>
      <c r="Z1762" t="str">
        <f>"85379"</f>
        <v>85379</v>
      </c>
      <c r="AA1762" t="str">
        <f>""</f>
        <v/>
      </c>
      <c r="AB1762" t="s">
        <v>1990</v>
      </c>
    </row>
    <row r="1763" spans="1:28" x14ac:dyDescent="0.25">
      <c r="A1763">
        <v>79064</v>
      </c>
      <c r="B1763" t="str">
        <f>"148759000"</f>
        <v>148759000</v>
      </c>
      <c r="C1763" t="s">
        <v>6204</v>
      </c>
      <c r="D1763">
        <v>0</v>
      </c>
      <c r="E1763" t="str">
        <f>""</f>
        <v/>
      </c>
      <c r="G1763" t="s">
        <v>29</v>
      </c>
      <c r="H1763" t="s">
        <v>6205</v>
      </c>
      <c r="I1763" t="s">
        <v>6206</v>
      </c>
      <c r="J1763" t="s">
        <v>5966</v>
      </c>
      <c r="K1763" t="str">
        <f>"9283141102"</f>
        <v>9283141102</v>
      </c>
      <c r="L1763" t="str">
        <f>""</f>
        <v/>
      </c>
      <c r="M1763" t="str">
        <f>""</f>
        <v/>
      </c>
      <c r="N1763" t="str">
        <f>""</f>
        <v/>
      </c>
      <c r="O1763" t="s">
        <v>6207</v>
      </c>
      <c r="P1763" t="s">
        <v>6208</v>
      </c>
      <c r="R1763" t="s">
        <v>5471</v>
      </c>
      <c r="S1763" t="s">
        <v>36</v>
      </c>
      <c r="T1763" t="str">
        <f>"85364"</f>
        <v>85364</v>
      </c>
      <c r="U1763" t="str">
        <f>""</f>
        <v/>
      </c>
      <c r="V1763" t="s">
        <v>6208</v>
      </c>
      <c r="X1763" t="s">
        <v>5471</v>
      </c>
      <c r="Y1763" t="s">
        <v>36</v>
      </c>
      <c r="Z1763" t="str">
        <f>"85364"</f>
        <v>85364</v>
      </c>
      <c r="AA1763" t="str">
        <f>""</f>
        <v/>
      </c>
      <c r="AB1763" t="s">
        <v>56</v>
      </c>
    </row>
    <row r="1764" spans="1:28" x14ac:dyDescent="0.25">
      <c r="A1764">
        <v>79064</v>
      </c>
      <c r="B1764" t="str">
        <f>"148759000"</f>
        <v>148759000</v>
      </c>
      <c r="C1764" t="s">
        <v>6204</v>
      </c>
      <c r="D1764">
        <v>79112</v>
      </c>
      <c r="E1764" t="str">
        <f>"148759101"</f>
        <v>148759101</v>
      </c>
      <c r="F1764" t="s">
        <v>6209</v>
      </c>
      <c r="G1764" t="s">
        <v>42</v>
      </c>
      <c r="H1764" t="s">
        <v>1160</v>
      </c>
      <c r="I1764" t="s">
        <v>6210</v>
      </c>
      <c r="J1764" t="s">
        <v>3787</v>
      </c>
      <c r="K1764" t="str">
        <f>"9283141102"</f>
        <v>9283141102</v>
      </c>
      <c r="L1764" t="str">
        <f>""</f>
        <v/>
      </c>
      <c r="M1764" t="str">
        <f>"9283141056"</f>
        <v>9283141056</v>
      </c>
      <c r="N1764" t="str">
        <f>""</f>
        <v/>
      </c>
      <c r="O1764" t="s">
        <v>6211</v>
      </c>
      <c r="P1764" t="s">
        <v>6212</v>
      </c>
      <c r="R1764" t="s">
        <v>5471</v>
      </c>
      <c r="S1764" t="s">
        <v>36</v>
      </c>
      <c r="T1764" t="str">
        <f>"85366"</f>
        <v>85366</v>
      </c>
      <c r="U1764" t="str">
        <f>""</f>
        <v/>
      </c>
      <c r="V1764" t="s">
        <v>6208</v>
      </c>
      <c r="X1764" t="s">
        <v>5471</v>
      </c>
      <c r="Y1764" t="s">
        <v>36</v>
      </c>
      <c r="Z1764" t="str">
        <f>"85364"</f>
        <v>85364</v>
      </c>
      <c r="AA1764" t="str">
        <f>""</f>
        <v/>
      </c>
      <c r="AB1764" t="s">
        <v>56</v>
      </c>
    </row>
    <row r="1765" spans="1:28" x14ac:dyDescent="0.25">
      <c r="A1765">
        <v>79073</v>
      </c>
      <c r="B1765" t="str">
        <f>"108773000"</f>
        <v>108773000</v>
      </c>
      <c r="C1765" t="s">
        <v>6213</v>
      </c>
      <c r="D1765">
        <v>0</v>
      </c>
      <c r="E1765" t="str">
        <f>""</f>
        <v/>
      </c>
      <c r="G1765" t="s">
        <v>29</v>
      </c>
      <c r="H1765" t="s">
        <v>2809</v>
      </c>
      <c r="I1765" t="s">
        <v>6214</v>
      </c>
      <c r="J1765" t="s">
        <v>301</v>
      </c>
      <c r="K1765" t="str">
        <f>"5202960883"</f>
        <v>5202960883</v>
      </c>
      <c r="L1765" t="str">
        <f>"1172"</f>
        <v>1172</v>
      </c>
      <c r="M1765" t="str">
        <f>"5202901521"</f>
        <v>5202901521</v>
      </c>
      <c r="N1765" t="str">
        <f>""</f>
        <v/>
      </c>
      <c r="O1765" t="s">
        <v>6215</v>
      </c>
      <c r="P1765" t="s">
        <v>6216</v>
      </c>
      <c r="R1765" t="s">
        <v>4169</v>
      </c>
      <c r="S1765" t="s">
        <v>36</v>
      </c>
      <c r="T1765" t="str">
        <f>"85715"</f>
        <v>85715</v>
      </c>
      <c r="U1765" t="str">
        <f>""</f>
        <v/>
      </c>
      <c r="V1765" t="s">
        <v>6216</v>
      </c>
      <c r="X1765" t="s">
        <v>4169</v>
      </c>
      <c r="Y1765" t="s">
        <v>36</v>
      </c>
      <c r="Z1765" t="str">
        <f>"85715"</f>
        <v>85715</v>
      </c>
      <c r="AA1765" t="str">
        <f>""</f>
        <v/>
      </c>
      <c r="AB1765" t="s">
        <v>86</v>
      </c>
    </row>
    <row r="1766" spans="1:28" x14ac:dyDescent="0.25">
      <c r="A1766">
        <v>79073</v>
      </c>
      <c r="B1766" t="str">
        <f>"108773000"</f>
        <v>108773000</v>
      </c>
      <c r="C1766" t="s">
        <v>6213</v>
      </c>
      <c r="D1766">
        <v>79103</v>
      </c>
      <c r="E1766" t="str">
        <f>"108773101"</f>
        <v>108773101</v>
      </c>
      <c r="F1766" t="s">
        <v>6217</v>
      </c>
      <c r="G1766" t="s">
        <v>42</v>
      </c>
      <c r="H1766" t="s">
        <v>2809</v>
      </c>
      <c r="I1766" t="s">
        <v>6214</v>
      </c>
      <c r="J1766" t="s">
        <v>301</v>
      </c>
      <c r="K1766" t="str">
        <f>"5202960883"</f>
        <v>5202960883</v>
      </c>
      <c r="L1766" t="str">
        <f>"1172"</f>
        <v>1172</v>
      </c>
      <c r="M1766" t="str">
        <f>"5202901521"</f>
        <v>5202901521</v>
      </c>
      <c r="N1766" t="str">
        <f>""</f>
        <v/>
      </c>
      <c r="O1766" t="s">
        <v>6215</v>
      </c>
      <c r="P1766" t="s">
        <v>6216</v>
      </c>
      <c r="R1766" t="s">
        <v>4169</v>
      </c>
      <c r="S1766" t="s">
        <v>36</v>
      </c>
      <c r="T1766" t="str">
        <f>"85715"</f>
        <v>85715</v>
      </c>
      <c r="U1766" t="str">
        <f>""</f>
        <v/>
      </c>
      <c r="V1766" t="s">
        <v>6216</v>
      </c>
      <c r="X1766" t="s">
        <v>4169</v>
      </c>
      <c r="Y1766" t="s">
        <v>36</v>
      </c>
      <c r="Z1766" t="str">
        <f>"85715"</f>
        <v>85715</v>
      </c>
      <c r="AA1766" t="str">
        <f>""</f>
        <v/>
      </c>
      <c r="AB1766" t="s">
        <v>86</v>
      </c>
    </row>
    <row r="1767" spans="1:28" x14ac:dyDescent="0.25">
      <c r="A1767">
        <v>79077</v>
      </c>
      <c r="B1767" t="str">
        <f>"078994000"</f>
        <v>078994000</v>
      </c>
      <c r="C1767" t="s">
        <v>6218</v>
      </c>
      <c r="D1767">
        <v>0</v>
      </c>
      <c r="E1767" t="str">
        <f>""</f>
        <v/>
      </c>
      <c r="G1767" t="s">
        <v>29</v>
      </c>
      <c r="H1767" t="s">
        <v>6219</v>
      </c>
      <c r="I1767" t="s">
        <v>6220</v>
      </c>
      <c r="J1767" t="s">
        <v>486</v>
      </c>
      <c r="K1767" t="str">
        <f>"6025952198"</f>
        <v>6025952198</v>
      </c>
      <c r="L1767" t="str">
        <f>"115"</f>
        <v>115</v>
      </c>
      <c r="M1767" t="str">
        <f>"6022422398"</f>
        <v>6022422398</v>
      </c>
      <c r="N1767" t="str">
        <f>""</f>
        <v/>
      </c>
      <c r="O1767" t="s">
        <v>6221</v>
      </c>
      <c r="P1767" t="s">
        <v>6222</v>
      </c>
      <c r="Q1767" t="s">
        <v>6223</v>
      </c>
      <c r="R1767" t="s">
        <v>964</v>
      </c>
      <c r="S1767" t="s">
        <v>36</v>
      </c>
      <c r="T1767" t="str">
        <f>"85021"</f>
        <v>85021</v>
      </c>
      <c r="U1767" t="str">
        <f>""</f>
        <v/>
      </c>
      <c r="V1767" t="s">
        <v>6222</v>
      </c>
      <c r="W1767" t="s">
        <v>6223</v>
      </c>
      <c r="X1767" t="s">
        <v>964</v>
      </c>
      <c r="Y1767" t="s">
        <v>36</v>
      </c>
      <c r="Z1767" t="str">
        <f>"85021"</f>
        <v>85021</v>
      </c>
      <c r="AA1767" t="str">
        <f>""</f>
        <v/>
      </c>
      <c r="AB1767" t="s">
        <v>516</v>
      </c>
    </row>
    <row r="1768" spans="1:28" x14ac:dyDescent="0.25">
      <c r="A1768">
        <v>79077</v>
      </c>
      <c r="B1768" t="str">
        <f>"078994000"</f>
        <v>078994000</v>
      </c>
      <c r="C1768" t="s">
        <v>6218</v>
      </c>
      <c r="D1768">
        <v>79099</v>
      </c>
      <c r="E1768" t="str">
        <f>"078994001"</f>
        <v>078994001</v>
      </c>
      <c r="F1768" t="s">
        <v>6224</v>
      </c>
      <c r="G1768" t="s">
        <v>42</v>
      </c>
      <c r="H1768" t="s">
        <v>6219</v>
      </c>
      <c r="I1768" t="s">
        <v>6220</v>
      </c>
      <c r="J1768" t="s">
        <v>486</v>
      </c>
      <c r="K1768" t="str">
        <f>"6025952198"</f>
        <v>6025952198</v>
      </c>
      <c r="L1768" t="str">
        <f>"115"</f>
        <v>115</v>
      </c>
      <c r="M1768" t="str">
        <f>"6022422398"</f>
        <v>6022422398</v>
      </c>
      <c r="N1768" t="str">
        <f>""</f>
        <v/>
      </c>
      <c r="O1768" t="s">
        <v>6221</v>
      </c>
      <c r="P1768" t="s">
        <v>6222</v>
      </c>
      <c r="R1768" t="s">
        <v>964</v>
      </c>
      <c r="S1768" t="s">
        <v>36</v>
      </c>
      <c r="T1768" t="str">
        <f>"85021"</f>
        <v>85021</v>
      </c>
      <c r="U1768" t="str">
        <f>""</f>
        <v/>
      </c>
      <c r="V1768" t="s">
        <v>6222</v>
      </c>
      <c r="X1768" t="s">
        <v>964</v>
      </c>
      <c r="Y1768" t="s">
        <v>36</v>
      </c>
      <c r="Z1768" t="str">
        <f>"85021"</f>
        <v>85021</v>
      </c>
      <c r="AA1768" t="str">
        <f>""</f>
        <v/>
      </c>
      <c r="AB1768" t="s">
        <v>516</v>
      </c>
    </row>
    <row r="1769" spans="1:28" x14ac:dyDescent="0.25">
      <c r="A1769">
        <v>79081</v>
      </c>
      <c r="B1769" t="str">
        <f>"078998000"</f>
        <v>078998000</v>
      </c>
      <c r="C1769" t="s">
        <v>6225</v>
      </c>
      <c r="D1769">
        <v>0</v>
      </c>
      <c r="E1769" t="str">
        <f>""</f>
        <v/>
      </c>
      <c r="G1769" t="s">
        <v>29</v>
      </c>
      <c r="H1769" t="s">
        <v>1681</v>
      </c>
      <c r="I1769" t="s">
        <v>6226</v>
      </c>
      <c r="J1769" t="s">
        <v>6227</v>
      </c>
      <c r="K1769" t="str">
        <f>"6233762900"</f>
        <v>6233762900</v>
      </c>
      <c r="L1769" t="str">
        <f>""</f>
        <v/>
      </c>
      <c r="M1769" t="str">
        <f>"6233769030"</f>
        <v>6233769030</v>
      </c>
      <c r="N1769" t="str">
        <f>""</f>
        <v/>
      </c>
      <c r="O1769" t="s">
        <v>6228</v>
      </c>
      <c r="P1769" t="s">
        <v>6229</v>
      </c>
      <c r="R1769" t="s">
        <v>1165</v>
      </c>
      <c r="S1769" t="s">
        <v>36</v>
      </c>
      <c r="T1769" t="str">
        <f>"85383"</f>
        <v>85383</v>
      </c>
      <c r="U1769" t="str">
        <f>""</f>
        <v/>
      </c>
      <c r="V1769" t="s">
        <v>6229</v>
      </c>
      <c r="X1769" t="s">
        <v>1165</v>
      </c>
      <c r="Y1769" t="s">
        <v>36</v>
      </c>
      <c r="Z1769" t="str">
        <f>"85383"</f>
        <v>85383</v>
      </c>
      <c r="AA1769" t="str">
        <f>""</f>
        <v/>
      </c>
      <c r="AB1769" t="s">
        <v>686</v>
      </c>
    </row>
    <row r="1770" spans="1:28" x14ac:dyDescent="0.25">
      <c r="A1770">
        <v>79081</v>
      </c>
      <c r="B1770" t="str">
        <f>"078998000"</f>
        <v>078998000</v>
      </c>
      <c r="C1770" t="s">
        <v>6225</v>
      </c>
      <c r="D1770">
        <v>78788</v>
      </c>
      <c r="E1770" t="str">
        <f>"078989101"</f>
        <v>078989101</v>
      </c>
      <c r="F1770" t="s">
        <v>6230</v>
      </c>
      <c r="G1770" t="s">
        <v>42</v>
      </c>
      <c r="H1770" t="s">
        <v>4974</v>
      </c>
      <c r="I1770" t="s">
        <v>2757</v>
      </c>
      <c r="J1770" t="s">
        <v>5736</v>
      </c>
      <c r="K1770" t="str">
        <f>"4809644602"</f>
        <v>4809644602</v>
      </c>
      <c r="L1770" t="str">
        <f>""</f>
        <v/>
      </c>
      <c r="M1770" t="str">
        <f>"4809646566"</f>
        <v>4809646566</v>
      </c>
      <c r="N1770" t="str">
        <f>""</f>
        <v/>
      </c>
      <c r="O1770" t="s">
        <v>6231</v>
      </c>
      <c r="P1770" t="s">
        <v>6232</v>
      </c>
      <c r="R1770" t="s">
        <v>979</v>
      </c>
      <c r="S1770" t="s">
        <v>36</v>
      </c>
      <c r="T1770" t="str">
        <f>"85210"</f>
        <v>85210</v>
      </c>
      <c r="U1770" t="str">
        <f>""</f>
        <v/>
      </c>
      <c r="V1770" t="s">
        <v>6232</v>
      </c>
      <c r="X1770" t="s">
        <v>979</v>
      </c>
      <c r="Y1770" t="s">
        <v>36</v>
      </c>
      <c r="Z1770" t="str">
        <f>"85210"</f>
        <v>85210</v>
      </c>
      <c r="AA1770" t="str">
        <f>""</f>
        <v/>
      </c>
      <c r="AB1770" t="s">
        <v>686</v>
      </c>
    </row>
    <row r="1771" spans="1:28" x14ac:dyDescent="0.25">
      <c r="A1771">
        <v>79081</v>
      </c>
      <c r="B1771" t="str">
        <f>"078998000"</f>
        <v>078998000</v>
      </c>
      <c r="C1771" t="s">
        <v>6225</v>
      </c>
      <c r="D1771">
        <v>79095</v>
      </c>
      <c r="E1771" t="str">
        <f>"078998001"</f>
        <v>078998001</v>
      </c>
      <c r="F1771" t="s">
        <v>6233</v>
      </c>
      <c r="G1771" t="s">
        <v>42</v>
      </c>
      <c r="H1771" t="s">
        <v>1681</v>
      </c>
      <c r="I1771" t="s">
        <v>6226</v>
      </c>
      <c r="J1771" t="s">
        <v>6227</v>
      </c>
      <c r="K1771" t="str">
        <f>"6233762900"</f>
        <v>6233762900</v>
      </c>
      <c r="L1771" t="str">
        <f>"208"</f>
        <v>208</v>
      </c>
      <c r="M1771" t="str">
        <f>"6233769030"</f>
        <v>6233769030</v>
      </c>
      <c r="N1771" t="str">
        <f>""</f>
        <v/>
      </c>
      <c r="O1771" t="s">
        <v>6228</v>
      </c>
      <c r="P1771" t="s">
        <v>6229</v>
      </c>
      <c r="R1771" t="s">
        <v>1165</v>
      </c>
      <c r="S1771" t="s">
        <v>36</v>
      </c>
      <c r="T1771" t="str">
        <f>"85383"</f>
        <v>85383</v>
      </c>
      <c r="U1771" t="str">
        <f>""</f>
        <v/>
      </c>
      <c r="V1771" t="s">
        <v>6229</v>
      </c>
      <c r="X1771" t="s">
        <v>1165</v>
      </c>
      <c r="Y1771" t="s">
        <v>36</v>
      </c>
      <c r="Z1771" t="str">
        <f>"85383"</f>
        <v>85383</v>
      </c>
      <c r="AA1771" t="str">
        <f>""</f>
        <v/>
      </c>
      <c r="AB1771" t="s">
        <v>686</v>
      </c>
    </row>
    <row r="1772" spans="1:28" x14ac:dyDescent="0.25">
      <c r="A1772">
        <v>79084</v>
      </c>
      <c r="B1772" t="str">
        <f t="shared" ref="B1772:B1778" si="294">"078914000"</f>
        <v>078914000</v>
      </c>
      <c r="C1772" t="s">
        <v>6234</v>
      </c>
      <c r="D1772">
        <v>0</v>
      </c>
      <c r="E1772" t="str">
        <f>""</f>
        <v/>
      </c>
      <c r="G1772" t="s">
        <v>29</v>
      </c>
      <c r="H1772" t="s">
        <v>1888</v>
      </c>
      <c r="I1772" t="s">
        <v>6235</v>
      </c>
      <c r="J1772" t="s">
        <v>4837</v>
      </c>
      <c r="K1772" t="str">
        <f t="shared" ref="K1772:K1778" si="295">"8772252118"</f>
        <v>8772252118</v>
      </c>
      <c r="L1772" t="str">
        <f t="shared" ref="L1772:L1778" si="296">"1321"</f>
        <v>1321</v>
      </c>
      <c r="M1772" t="str">
        <f>""</f>
        <v/>
      </c>
      <c r="N1772" t="str">
        <f>""</f>
        <v/>
      </c>
      <c r="O1772" t="s">
        <v>6236</v>
      </c>
      <c r="P1772" t="s">
        <v>6237</v>
      </c>
      <c r="Q1772" t="s">
        <v>6238</v>
      </c>
      <c r="R1772" t="s">
        <v>6239</v>
      </c>
      <c r="S1772" t="s">
        <v>36</v>
      </c>
      <c r="T1772" t="str">
        <f>"85042"</f>
        <v>85042</v>
      </c>
      <c r="U1772" t="str">
        <f>""</f>
        <v/>
      </c>
      <c r="V1772" t="s">
        <v>6237</v>
      </c>
      <c r="W1772" t="s">
        <v>6238</v>
      </c>
      <c r="X1772" t="s">
        <v>6239</v>
      </c>
      <c r="Y1772" t="s">
        <v>36</v>
      </c>
      <c r="Z1772" t="str">
        <f>"85042"</f>
        <v>85042</v>
      </c>
      <c r="AA1772" t="str">
        <f>""</f>
        <v/>
      </c>
      <c r="AB1772" t="s">
        <v>56</v>
      </c>
    </row>
    <row r="1773" spans="1:28" x14ac:dyDescent="0.25">
      <c r="A1773">
        <v>79084</v>
      </c>
      <c r="B1773" t="str">
        <f t="shared" si="294"/>
        <v>078914000</v>
      </c>
      <c r="C1773" t="s">
        <v>6234</v>
      </c>
      <c r="D1773">
        <v>79092</v>
      </c>
      <c r="E1773" t="str">
        <f>"078914201"</f>
        <v>078914201</v>
      </c>
      <c r="F1773" t="s">
        <v>6240</v>
      </c>
      <c r="G1773" t="s">
        <v>42</v>
      </c>
      <c r="H1773" t="s">
        <v>1888</v>
      </c>
      <c r="I1773" t="s">
        <v>6235</v>
      </c>
      <c r="J1773" t="s">
        <v>4837</v>
      </c>
      <c r="K1773" t="str">
        <f t="shared" si="295"/>
        <v>8772252118</v>
      </c>
      <c r="L1773" t="str">
        <f t="shared" si="296"/>
        <v>1321</v>
      </c>
      <c r="M1773" t="str">
        <f>""</f>
        <v/>
      </c>
      <c r="N1773" t="str">
        <f>""</f>
        <v/>
      </c>
      <c r="O1773" t="s">
        <v>6236</v>
      </c>
      <c r="P1773" t="s">
        <v>6241</v>
      </c>
      <c r="R1773" t="s">
        <v>964</v>
      </c>
      <c r="S1773" t="s">
        <v>36</v>
      </c>
      <c r="T1773" t="str">
        <f>"85042"</f>
        <v>85042</v>
      </c>
      <c r="U1773" t="str">
        <f>""</f>
        <v/>
      </c>
      <c r="V1773" t="s">
        <v>6241</v>
      </c>
      <c r="X1773" t="s">
        <v>964</v>
      </c>
      <c r="Y1773" t="s">
        <v>36</v>
      </c>
      <c r="Z1773" t="str">
        <f>"85042"</f>
        <v>85042</v>
      </c>
      <c r="AA1773" t="str">
        <f>""</f>
        <v/>
      </c>
      <c r="AB1773" t="s">
        <v>56</v>
      </c>
    </row>
    <row r="1774" spans="1:28" x14ac:dyDescent="0.25">
      <c r="A1774">
        <v>79084</v>
      </c>
      <c r="B1774" t="str">
        <f t="shared" si="294"/>
        <v>078914000</v>
      </c>
      <c r="C1774" t="s">
        <v>6234</v>
      </c>
      <c r="D1774">
        <v>89870</v>
      </c>
      <c r="E1774" t="str">
        <f>"078542101"</f>
        <v>078542101</v>
      </c>
      <c r="F1774" t="s">
        <v>6242</v>
      </c>
      <c r="G1774" t="s">
        <v>42</v>
      </c>
      <c r="H1774" t="s">
        <v>1888</v>
      </c>
      <c r="I1774" t="s">
        <v>6235</v>
      </c>
      <c r="J1774" t="s">
        <v>4837</v>
      </c>
      <c r="K1774" t="str">
        <f t="shared" si="295"/>
        <v>8772252118</v>
      </c>
      <c r="L1774" t="str">
        <f t="shared" si="296"/>
        <v>1321</v>
      </c>
      <c r="M1774" t="str">
        <f>""</f>
        <v/>
      </c>
      <c r="N1774" t="str">
        <f>""</f>
        <v/>
      </c>
      <c r="O1774" t="s">
        <v>6236</v>
      </c>
      <c r="P1774" t="s">
        <v>6243</v>
      </c>
      <c r="R1774" t="s">
        <v>1041</v>
      </c>
      <c r="S1774" t="s">
        <v>36</v>
      </c>
      <c r="T1774" t="str">
        <f>"85225"</f>
        <v>85225</v>
      </c>
      <c r="U1774" t="str">
        <f>""</f>
        <v/>
      </c>
      <c r="V1774" t="s">
        <v>6243</v>
      </c>
      <c r="X1774" t="s">
        <v>1041</v>
      </c>
      <c r="Y1774" t="s">
        <v>36</v>
      </c>
      <c r="Z1774" t="str">
        <f>"85225"</f>
        <v>85225</v>
      </c>
      <c r="AA1774" t="str">
        <f>""</f>
        <v/>
      </c>
      <c r="AB1774" t="s">
        <v>56</v>
      </c>
    </row>
    <row r="1775" spans="1:28" x14ac:dyDescent="0.25">
      <c r="A1775">
        <v>79084</v>
      </c>
      <c r="B1775" t="str">
        <f t="shared" si="294"/>
        <v>078914000</v>
      </c>
      <c r="C1775" t="s">
        <v>6234</v>
      </c>
      <c r="D1775">
        <v>89941</v>
      </c>
      <c r="E1775" t="str">
        <f>"078566001"</f>
        <v>078566001</v>
      </c>
      <c r="F1775" t="s">
        <v>6244</v>
      </c>
      <c r="G1775" t="s">
        <v>42</v>
      </c>
      <c r="H1775" t="s">
        <v>6245</v>
      </c>
      <c r="I1775" t="s">
        <v>6246</v>
      </c>
      <c r="J1775" t="s">
        <v>6247</v>
      </c>
      <c r="K1775" t="str">
        <f t="shared" si="295"/>
        <v>8772252118</v>
      </c>
      <c r="L1775" t="str">
        <f t="shared" si="296"/>
        <v>1321</v>
      </c>
      <c r="M1775" t="str">
        <f>""</f>
        <v/>
      </c>
      <c r="N1775" t="str">
        <f>""</f>
        <v/>
      </c>
      <c r="O1775" t="s">
        <v>6236</v>
      </c>
      <c r="P1775" t="s">
        <v>6248</v>
      </c>
      <c r="R1775" t="s">
        <v>6249</v>
      </c>
      <c r="S1775" t="s">
        <v>36</v>
      </c>
      <c r="T1775" t="str">
        <f>"85221"</f>
        <v>85221</v>
      </c>
      <c r="U1775" t="str">
        <f>""</f>
        <v/>
      </c>
      <c r="V1775" t="s">
        <v>6248</v>
      </c>
      <c r="X1775" t="s">
        <v>6249</v>
      </c>
      <c r="Y1775" t="s">
        <v>36</v>
      </c>
      <c r="Z1775" t="str">
        <f>"85221"</f>
        <v>85221</v>
      </c>
      <c r="AA1775" t="str">
        <f>""</f>
        <v/>
      </c>
      <c r="AB1775" t="s">
        <v>56</v>
      </c>
    </row>
    <row r="1776" spans="1:28" x14ac:dyDescent="0.25">
      <c r="A1776">
        <v>79084</v>
      </c>
      <c r="B1776" t="str">
        <f t="shared" si="294"/>
        <v>078914000</v>
      </c>
      <c r="C1776" t="s">
        <v>6234</v>
      </c>
      <c r="D1776">
        <v>90318</v>
      </c>
      <c r="E1776" t="str">
        <f>"078562001"</f>
        <v>078562001</v>
      </c>
      <c r="F1776" t="s">
        <v>6250</v>
      </c>
      <c r="G1776" t="s">
        <v>42</v>
      </c>
      <c r="H1776" t="s">
        <v>6245</v>
      </c>
      <c r="I1776" t="s">
        <v>6246</v>
      </c>
      <c r="J1776" t="s">
        <v>6247</v>
      </c>
      <c r="K1776" t="str">
        <f t="shared" si="295"/>
        <v>8772252118</v>
      </c>
      <c r="L1776" t="str">
        <f t="shared" si="296"/>
        <v>1321</v>
      </c>
      <c r="M1776" t="str">
        <f>""</f>
        <v/>
      </c>
      <c r="N1776" t="str">
        <f>""</f>
        <v/>
      </c>
      <c r="O1776" t="s">
        <v>6236</v>
      </c>
      <c r="P1776" t="s">
        <v>6243</v>
      </c>
      <c r="Q1776" t="s">
        <v>6251</v>
      </c>
      <c r="R1776" t="s">
        <v>1041</v>
      </c>
      <c r="S1776" t="s">
        <v>36</v>
      </c>
      <c r="T1776" t="str">
        <f>"85225"</f>
        <v>85225</v>
      </c>
      <c r="U1776" t="str">
        <f>""</f>
        <v/>
      </c>
      <c r="V1776" t="s">
        <v>6243</v>
      </c>
      <c r="W1776" t="s">
        <v>6251</v>
      </c>
      <c r="X1776" t="s">
        <v>1041</v>
      </c>
      <c r="Y1776" t="s">
        <v>36</v>
      </c>
      <c r="Z1776" t="str">
        <f>"85225"</f>
        <v>85225</v>
      </c>
      <c r="AA1776" t="str">
        <f>""</f>
        <v/>
      </c>
      <c r="AB1776" t="s">
        <v>56</v>
      </c>
    </row>
    <row r="1777" spans="1:28" x14ac:dyDescent="0.25">
      <c r="A1777">
        <v>79084</v>
      </c>
      <c r="B1777" t="str">
        <f t="shared" si="294"/>
        <v>078914000</v>
      </c>
      <c r="C1777" t="s">
        <v>6234</v>
      </c>
      <c r="D1777">
        <v>91109</v>
      </c>
      <c r="E1777" t="str">
        <f>"078599301"</f>
        <v>078599301</v>
      </c>
      <c r="F1777" t="s">
        <v>6252</v>
      </c>
      <c r="G1777" t="s">
        <v>42</v>
      </c>
      <c r="H1777" t="s">
        <v>6245</v>
      </c>
      <c r="I1777" t="s">
        <v>6246</v>
      </c>
      <c r="J1777" t="s">
        <v>6247</v>
      </c>
      <c r="K1777" t="str">
        <f t="shared" si="295"/>
        <v>8772252118</v>
      </c>
      <c r="L1777" t="str">
        <f t="shared" si="296"/>
        <v>1321</v>
      </c>
      <c r="M1777" t="str">
        <f>""</f>
        <v/>
      </c>
      <c r="N1777" t="str">
        <f>""</f>
        <v/>
      </c>
      <c r="O1777" t="s">
        <v>6236</v>
      </c>
      <c r="P1777" t="s">
        <v>6253</v>
      </c>
      <c r="R1777" t="s">
        <v>6239</v>
      </c>
      <c r="S1777" t="s">
        <v>36</v>
      </c>
      <c r="T1777" t="str">
        <f>"85042"</f>
        <v>85042</v>
      </c>
      <c r="U1777" t="str">
        <f>""</f>
        <v/>
      </c>
      <c r="V1777" t="s">
        <v>6253</v>
      </c>
      <c r="X1777" t="s">
        <v>6239</v>
      </c>
      <c r="Y1777" t="s">
        <v>36</v>
      </c>
      <c r="Z1777" t="str">
        <f>"85042"</f>
        <v>85042</v>
      </c>
      <c r="AA1777" t="str">
        <f>""</f>
        <v/>
      </c>
      <c r="AB1777" t="s">
        <v>56</v>
      </c>
    </row>
    <row r="1778" spans="1:28" x14ac:dyDescent="0.25">
      <c r="A1778">
        <v>79084</v>
      </c>
      <c r="B1778" t="str">
        <f t="shared" si="294"/>
        <v>078914000</v>
      </c>
      <c r="C1778" t="s">
        <v>6234</v>
      </c>
      <c r="D1778">
        <v>91122</v>
      </c>
      <c r="E1778" t="str">
        <f>"078578301"</f>
        <v>078578301</v>
      </c>
      <c r="F1778" t="s">
        <v>6254</v>
      </c>
      <c r="G1778" t="s">
        <v>42</v>
      </c>
      <c r="H1778" t="s">
        <v>6245</v>
      </c>
      <c r="I1778" t="s">
        <v>6246</v>
      </c>
      <c r="J1778" t="s">
        <v>6247</v>
      </c>
      <c r="K1778" t="str">
        <f t="shared" si="295"/>
        <v>8772252118</v>
      </c>
      <c r="L1778" t="str">
        <f t="shared" si="296"/>
        <v>1321</v>
      </c>
      <c r="M1778" t="str">
        <f>""</f>
        <v/>
      </c>
      <c r="N1778" t="str">
        <f>""</f>
        <v/>
      </c>
      <c r="O1778" t="s">
        <v>6236</v>
      </c>
      <c r="P1778" t="s">
        <v>6255</v>
      </c>
      <c r="R1778" t="s">
        <v>6239</v>
      </c>
      <c r="S1778" t="s">
        <v>36</v>
      </c>
      <c r="T1778" t="str">
        <f>"85042"</f>
        <v>85042</v>
      </c>
      <c r="U1778" t="str">
        <f>""</f>
        <v/>
      </c>
      <c r="V1778" t="s">
        <v>6255</v>
      </c>
      <c r="X1778" t="s">
        <v>6239</v>
      </c>
      <c r="Y1778" t="s">
        <v>36</v>
      </c>
      <c r="Z1778" t="str">
        <f>"85042"</f>
        <v>85042</v>
      </c>
      <c r="AA1778" t="str">
        <f>""</f>
        <v/>
      </c>
      <c r="AB1778" t="s">
        <v>56</v>
      </c>
    </row>
    <row r="1779" spans="1:28" x14ac:dyDescent="0.25">
      <c r="A1779">
        <v>79085</v>
      </c>
      <c r="B1779" t="str">
        <f>"108779000"</f>
        <v>108779000</v>
      </c>
      <c r="C1779" t="s">
        <v>6256</v>
      </c>
      <c r="D1779">
        <v>0</v>
      </c>
      <c r="E1779" t="str">
        <f>""</f>
        <v/>
      </c>
      <c r="G1779" t="s">
        <v>29</v>
      </c>
      <c r="H1779" t="s">
        <v>1409</v>
      </c>
      <c r="I1779" t="s">
        <v>6257</v>
      </c>
      <c r="J1779" t="s">
        <v>134</v>
      </c>
      <c r="K1779" t="str">
        <f>"5207417900"</f>
        <v>5207417900</v>
      </c>
      <c r="L1779" t="str">
        <f>""</f>
        <v/>
      </c>
      <c r="M1779" t="str">
        <f>"5207417901"</f>
        <v>5207417901</v>
      </c>
      <c r="N1779" t="str">
        <f>""</f>
        <v/>
      </c>
      <c r="O1779" t="s">
        <v>6258</v>
      </c>
      <c r="P1779" t="s">
        <v>6259</v>
      </c>
      <c r="R1779" t="s">
        <v>4169</v>
      </c>
      <c r="S1779" t="s">
        <v>36</v>
      </c>
      <c r="T1779" t="str">
        <f>"85715"</f>
        <v>85715</v>
      </c>
      <c r="U1779" t="str">
        <f>""</f>
        <v/>
      </c>
      <c r="V1779" t="s">
        <v>6260</v>
      </c>
      <c r="X1779" t="s">
        <v>6261</v>
      </c>
      <c r="Y1779" t="s">
        <v>36</v>
      </c>
      <c r="Z1779" t="str">
        <f>"85706"</f>
        <v>85706</v>
      </c>
      <c r="AA1779" t="str">
        <f>"7619"</f>
        <v>7619</v>
      </c>
      <c r="AB1779" t="s">
        <v>516</v>
      </c>
    </row>
    <row r="1780" spans="1:28" x14ac:dyDescent="0.25">
      <c r="A1780">
        <v>79085</v>
      </c>
      <c r="B1780" t="str">
        <f>"108779000"</f>
        <v>108779000</v>
      </c>
      <c r="C1780" t="s">
        <v>6256</v>
      </c>
      <c r="D1780">
        <v>79091</v>
      </c>
      <c r="E1780" t="str">
        <f>"108779101"</f>
        <v>108779101</v>
      </c>
      <c r="F1780" t="s">
        <v>6262</v>
      </c>
      <c r="G1780" t="s">
        <v>42</v>
      </c>
      <c r="H1780" t="s">
        <v>1694</v>
      </c>
      <c r="I1780" t="s">
        <v>6257</v>
      </c>
      <c r="J1780" t="s">
        <v>6263</v>
      </c>
      <c r="K1780" t="str">
        <f>"5207417900"</f>
        <v>5207417900</v>
      </c>
      <c r="L1780" t="str">
        <f>"750"</f>
        <v>750</v>
      </c>
      <c r="M1780" t="str">
        <f>"5207417901"</f>
        <v>5207417901</v>
      </c>
      <c r="N1780" t="str">
        <f>""</f>
        <v/>
      </c>
      <c r="O1780" t="s">
        <v>6258</v>
      </c>
      <c r="P1780" t="s">
        <v>6259</v>
      </c>
      <c r="R1780" t="s">
        <v>4169</v>
      </c>
      <c r="S1780" t="s">
        <v>36</v>
      </c>
      <c r="T1780" t="str">
        <f>"85715"</f>
        <v>85715</v>
      </c>
      <c r="U1780" t="str">
        <f>""</f>
        <v/>
      </c>
      <c r="V1780" t="s">
        <v>6264</v>
      </c>
      <c r="X1780" t="s">
        <v>4169</v>
      </c>
      <c r="Y1780" t="s">
        <v>36</v>
      </c>
      <c r="Z1780" t="str">
        <f>"85706"</f>
        <v>85706</v>
      </c>
      <c r="AA1780" t="str">
        <f>""</f>
        <v/>
      </c>
      <c r="AB1780" t="s">
        <v>516</v>
      </c>
    </row>
    <row r="1781" spans="1:28" x14ac:dyDescent="0.25">
      <c r="A1781">
        <v>79086</v>
      </c>
      <c r="B1781" t="str">
        <f>"038753000"</f>
        <v>038753000</v>
      </c>
      <c r="C1781" t="s">
        <v>6265</v>
      </c>
      <c r="D1781">
        <v>0</v>
      </c>
      <c r="E1781" t="str">
        <f>""</f>
        <v/>
      </c>
      <c r="G1781" t="s">
        <v>29</v>
      </c>
      <c r="H1781" t="s">
        <v>6266</v>
      </c>
      <c r="I1781" t="s">
        <v>416</v>
      </c>
      <c r="J1781" t="s">
        <v>195</v>
      </c>
      <c r="K1781" t="str">
        <f>"9284154157"</f>
        <v>9284154157</v>
      </c>
      <c r="L1781" t="str">
        <f>"8011"</f>
        <v>8011</v>
      </c>
      <c r="M1781" t="str">
        <f>"9282252179"</f>
        <v>9282252179</v>
      </c>
      <c r="N1781" t="str">
        <f>""</f>
        <v/>
      </c>
      <c r="O1781" t="s">
        <v>6267</v>
      </c>
      <c r="P1781" t="s">
        <v>6268</v>
      </c>
      <c r="R1781" t="s">
        <v>547</v>
      </c>
      <c r="S1781" t="s">
        <v>36</v>
      </c>
      <c r="T1781" t="str">
        <f>"86004"</f>
        <v>86004</v>
      </c>
      <c r="U1781" t="str">
        <f>""</f>
        <v/>
      </c>
      <c r="V1781" t="s">
        <v>6268</v>
      </c>
      <c r="X1781" t="s">
        <v>547</v>
      </c>
      <c r="Y1781" t="s">
        <v>36</v>
      </c>
      <c r="Z1781" t="str">
        <f>"86004"</f>
        <v>86004</v>
      </c>
      <c r="AA1781" t="str">
        <f>""</f>
        <v/>
      </c>
      <c r="AB1781" t="s">
        <v>265</v>
      </c>
    </row>
    <row r="1782" spans="1:28" x14ac:dyDescent="0.25">
      <c r="A1782">
        <v>79086</v>
      </c>
      <c r="B1782" t="str">
        <f>"038753000"</f>
        <v>038753000</v>
      </c>
      <c r="C1782" t="s">
        <v>6265</v>
      </c>
      <c r="D1782">
        <v>79090</v>
      </c>
      <c r="E1782" t="str">
        <f>"038753101"</f>
        <v>038753101</v>
      </c>
      <c r="F1782" t="s">
        <v>6269</v>
      </c>
      <c r="G1782" t="s">
        <v>42</v>
      </c>
      <c r="H1782" t="s">
        <v>6266</v>
      </c>
      <c r="I1782" t="s">
        <v>416</v>
      </c>
      <c r="J1782" t="s">
        <v>4966</v>
      </c>
      <c r="K1782" t="str">
        <f>"9288535566"</f>
        <v>9288535566</v>
      </c>
      <c r="L1782" t="str">
        <f>""</f>
        <v/>
      </c>
      <c r="M1782" t="str">
        <f>"9282252179"</f>
        <v>9282252179</v>
      </c>
      <c r="N1782" t="str">
        <f>""</f>
        <v/>
      </c>
      <c r="O1782" t="s">
        <v>6267</v>
      </c>
      <c r="P1782" t="s">
        <v>6268</v>
      </c>
      <c r="R1782" t="s">
        <v>547</v>
      </c>
      <c r="S1782" t="s">
        <v>36</v>
      </c>
      <c r="T1782" t="str">
        <f>"86004"</f>
        <v>86004</v>
      </c>
      <c r="U1782" t="str">
        <f>""</f>
        <v/>
      </c>
      <c r="V1782" t="s">
        <v>6268</v>
      </c>
      <c r="X1782" t="s">
        <v>547</v>
      </c>
      <c r="Y1782" t="s">
        <v>36</v>
      </c>
      <c r="Z1782" t="str">
        <f>"86004"</f>
        <v>86004</v>
      </c>
      <c r="AA1782" t="str">
        <f>""</f>
        <v/>
      </c>
      <c r="AB1782" t="s">
        <v>265</v>
      </c>
    </row>
    <row r="1783" spans="1:28" x14ac:dyDescent="0.25">
      <c r="A1783">
        <v>79204</v>
      </c>
      <c r="B1783" t="str">
        <f>"078988000"</f>
        <v>078988000</v>
      </c>
      <c r="C1783" t="s">
        <v>6270</v>
      </c>
      <c r="D1783">
        <v>0</v>
      </c>
      <c r="E1783" t="str">
        <f>""</f>
        <v/>
      </c>
      <c r="G1783" t="s">
        <v>29</v>
      </c>
      <c r="H1783" t="s">
        <v>6271</v>
      </c>
      <c r="I1783" t="s">
        <v>6272</v>
      </c>
      <c r="J1783" t="s">
        <v>6273</v>
      </c>
      <c r="K1783" t="str">
        <f>"4808556325"</f>
        <v>4808556325</v>
      </c>
      <c r="L1783" t="str">
        <f>"212"</f>
        <v>212</v>
      </c>
      <c r="M1783" t="str">
        <f>"4808556325"</f>
        <v>4808556325</v>
      </c>
      <c r="N1783" t="str">
        <f>""</f>
        <v/>
      </c>
      <c r="O1783" t="s">
        <v>6274</v>
      </c>
      <c r="P1783" t="s">
        <v>6275</v>
      </c>
      <c r="R1783" t="s">
        <v>1041</v>
      </c>
      <c r="S1783" t="s">
        <v>36</v>
      </c>
      <c r="T1783" t="str">
        <f>"85224"</f>
        <v>85224</v>
      </c>
      <c r="U1783" t="str">
        <f>""</f>
        <v/>
      </c>
      <c r="V1783" t="s">
        <v>6275</v>
      </c>
      <c r="X1783" t="s">
        <v>1041</v>
      </c>
      <c r="Y1783" t="s">
        <v>36</v>
      </c>
      <c r="Z1783" t="str">
        <f>"85224"</f>
        <v>85224</v>
      </c>
      <c r="AA1783" t="str">
        <f>""</f>
        <v/>
      </c>
      <c r="AB1783" t="s">
        <v>1990</v>
      </c>
    </row>
    <row r="1784" spans="1:28" x14ac:dyDescent="0.25">
      <c r="A1784">
        <v>79204</v>
      </c>
      <c r="B1784" t="str">
        <f>"078988000"</f>
        <v>078988000</v>
      </c>
      <c r="C1784" t="s">
        <v>6270</v>
      </c>
      <c r="D1784">
        <v>10729</v>
      </c>
      <c r="E1784" t="str">
        <f>"078988102"</f>
        <v>078988102</v>
      </c>
      <c r="F1784" t="s">
        <v>6276</v>
      </c>
      <c r="G1784" t="s">
        <v>42</v>
      </c>
      <c r="H1784" t="s">
        <v>6271</v>
      </c>
      <c r="I1784" t="s">
        <v>6272</v>
      </c>
      <c r="J1784" t="s">
        <v>6277</v>
      </c>
      <c r="K1784" t="str">
        <f>"4808556325"</f>
        <v>4808556325</v>
      </c>
      <c r="L1784" t="str">
        <f>"212"</f>
        <v>212</v>
      </c>
      <c r="M1784" t="str">
        <f>"4808556323"</f>
        <v>4808556323</v>
      </c>
      <c r="N1784" t="str">
        <f>""</f>
        <v/>
      </c>
      <c r="O1784" t="s">
        <v>6278</v>
      </c>
      <c r="P1784" t="s">
        <v>6279</v>
      </c>
      <c r="R1784" t="s">
        <v>1041</v>
      </c>
      <c r="S1784" t="s">
        <v>36</v>
      </c>
      <c r="T1784" t="str">
        <f>"85224"</f>
        <v>85224</v>
      </c>
      <c r="U1784" t="str">
        <f>""</f>
        <v/>
      </c>
      <c r="V1784" t="s">
        <v>6279</v>
      </c>
      <c r="X1784" t="s">
        <v>1041</v>
      </c>
      <c r="Y1784" t="s">
        <v>36</v>
      </c>
      <c r="Z1784" t="str">
        <f>"85224"</f>
        <v>85224</v>
      </c>
      <c r="AA1784" t="str">
        <f>""</f>
        <v/>
      </c>
      <c r="AB1784" t="s">
        <v>1990</v>
      </c>
    </row>
    <row r="1785" spans="1:28" x14ac:dyDescent="0.25">
      <c r="A1785">
        <v>79205</v>
      </c>
      <c r="B1785" t="str">
        <f>"078905000"</f>
        <v>078905000</v>
      </c>
      <c r="C1785" t="s">
        <v>6280</v>
      </c>
      <c r="D1785">
        <v>0</v>
      </c>
      <c r="E1785" t="str">
        <f>""</f>
        <v/>
      </c>
      <c r="G1785" t="s">
        <v>29</v>
      </c>
      <c r="H1785" t="s">
        <v>1429</v>
      </c>
      <c r="I1785" t="s">
        <v>806</v>
      </c>
      <c r="J1785" t="s">
        <v>6281</v>
      </c>
      <c r="K1785" t="str">
        <f>"6239770614"</f>
        <v>6239770614</v>
      </c>
      <c r="L1785" t="str">
        <f>"105"</f>
        <v>105</v>
      </c>
      <c r="M1785" t="str">
        <f>"6239770615"</f>
        <v>6239770615</v>
      </c>
      <c r="N1785" t="str">
        <f>""</f>
        <v/>
      </c>
      <c r="O1785" t="s">
        <v>6282</v>
      </c>
      <c r="P1785" t="s">
        <v>6283</v>
      </c>
      <c r="R1785" t="s">
        <v>1165</v>
      </c>
      <c r="S1785" t="s">
        <v>36</v>
      </c>
      <c r="T1785" t="str">
        <f>"85345"</f>
        <v>85345</v>
      </c>
      <c r="U1785" t="str">
        <f>""</f>
        <v/>
      </c>
      <c r="V1785" t="s">
        <v>6283</v>
      </c>
      <c r="X1785" t="s">
        <v>1165</v>
      </c>
      <c r="Y1785" t="s">
        <v>36</v>
      </c>
      <c r="Z1785" t="str">
        <f>"85345"</f>
        <v>85345</v>
      </c>
      <c r="AA1785" t="str">
        <f>""</f>
        <v/>
      </c>
      <c r="AB1785" t="s">
        <v>2345</v>
      </c>
    </row>
    <row r="1786" spans="1:28" x14ac:dyDescent="0.25">
      <c r="A1786">
        <v>79205</v>
      </c>
      <c r="B1786" t="str">
        <f>"078905000"</f>
        <v>078905000</v>
      </c>
      <c r="C1786" t="s">
        <v>6280</v>
      </c>
      <c r="D1786">
        <v>78977</v>
      </c>
      <c r="E1786" t="str">
        <f>"078905102"</f>
        <v>078905102</v>
      </c>
      <c r="F1786" t="s">
        <v>6284</v>
      </c>
      <c r="G1786" t="s">
        <v>42</v>
      </c>
      <c r="H1786" t="s">
        <v>1429</v>
      </c>
      <c r="I1786" t="s">
        <v>806</v>
      </c>
      <c r="J1786" t="s">
        <v>6285</v>
      </c>
      <c r="K1786" t="str">
        <f>"6239770614"</f>
        <v>6239770614</v>
      </c>
      <c r="L1786" t="str">
        <f>"105"</f>
        <v>105</v>
      </c>
      <c r="M1786" t="str">
        <f>"6239770615"</f>
        <v>6239770615</v>
      </c>
      <c r="N1786" t="str">
        <f>""</f>
        <v/>
      </c>
      <c r="O1786" t="s">
        <v>6282</v>
      </c>
      <c r="P1786" t="s">
        <v>6286</v>
      </c>
      <c r="R1786" t="s">
        <v>1165</v>
      </c>
      <c r="S1786" t="s">
        <v>36</v>
      </c>
      <c r="T1786" t="str">
        <f>"85345"</f>
        <v>85345</v>
      </c>
      <c r="U1786" t="str">
        <f>""</f>
        <v/>
      </c>
      <c r="V1786" t="s">
        <v>6283</v>
      </c>
      <c r="X1786" t="s">
        <v>1165</v>
      </c>
      <c r="Y1786" t="s">
        <v>36</v>
      </c>
      <c r="Z1786" t="str">
        <f>"85345"</f>
        <v>85345</v>
      </c>
      <c r="AA1786" t="str">
        <f>""</f>
        <v/>
      </c>
      <c r="AB1786" t="s">
        <v>2345</v>
      </c>
    </row>
    <row r="1787" spans="1:28" x14ac:dyDescent="0.25">
      <c r="A1787">
        <v>79207</v>
      </c>
      <c r="B1787" t="str">
        <f t="shared" ref="B1787:B1798" si="297">"078791000"</f>
        <v>078791000</v>
      </c>
      <c r="C1787" t="s">
        <v>6287</v>
      </c>
      <c r="D1787">
        <v>0</v>
      </c>
      <c r="E1787" t="str">
        <f>""</f>
        <v/>
      </c>
      <c r="G1787" t="s">
        <v>29</v>
      </c>
      <c r="H1787" t="s">
        <v>975</v>
      </c>
      <c r="I1787" t="s">
        <v>6288</v>
      </c>
      <c r="J1787" t="s">
        <v>202</v>
      </c>
      <c r="K1787" t="str">
        <f>"6024041009"</f>
        <v>6024041009</v>
      </c>
      <c r="L1787" t="str">
        <f>""</f>
        <v/>
      </c>
      <c r="M1787" t="str">
        <f>"6024045456"</f>
        <v>6024045456</v>
      </c>
      <c r="N1787" t="str">
        <f>""</f>
        <v/>
      </c>
      <c r="O1787" t="s">
        <v>6289</v>
      </c>
      <c r="P1787" t="s">
        <v>6290</v>
      </c>
      <c r="R1787" t="s">
        <v>964</v>
      </c>
      <c r="S1787" t="s">
        <v>36</v>
      </c>
      <c r="T1787" t="str">
        <f>"85032"</f>
        <v>85032</v>
      </c>
      <c r="U1787" t="str">
        <f>""</f>
        <v/>
      </c>
      <c r="V1787" t="s">
        <v>6290</v>
      </c>
      <c r="X1787" t="s">
        <v>964</v>
      </c>
      <c r="Y1787" t="s">
        <v>36</v>
      </c>
      <c r="Z1787" t="str">
        <f>"85032"</f>
        <v>85032</v>
      </c>
      <c r="AA1787" t="str">
        <f>""</f>
        <v/>
      </c>
      <c r="AB1787" t="s">
        <v>217</v>
      </c>
    </row>
    <row r="1788" spans="1:28" x14ac:dyDescent="0.25">
      <c r="A1788">
        <v>79207</v>
      </c>
      <c r="B1788" t="str">
        <f t="shared" si="297"/>
        <v>078791000</v>
      </c>
      <c r="C1788" t="s">
        <v>6287</v>
      </c>
      <c r="D1788">
        <v>5503</v>
      </c>
      <c r="E1788" t="str">
        <f>"078993201"</f>
        <v>078993201</v>
      </c>
      <c r="F1788" t="s">
        <v>6291</v>
      </c>
      <c r="G1788" t="s">
        <v>42</v>
      </c>
      <c r="H1788" t="s">
        <v>6292</v>
      </c>
      <c r="I1788" t="s">
        <v>1578</v>
      </c>
      <c r="J1788" t="s">
        <v>5777</v>
      </c>
      <c r="K1788" t="str">
        <f>"6023239890"</f>
        <v>6023239890</v>
      </c>
      <c r="L1788" t="str">
        <f>""</f>
        <v/>
      </c>
      <c r="M1788" t="str">
        <f>""</f>
        <v/>
      </c>
      <c r="N1788" t="str">
        <f>""</f>
        <v/>
      </c>
      <c r="O1788" t="s">
        <v>6293</v>
      </c>
      <c r="P1788" t="s">
        <v>6294</v>
      </c>
      <c r="R1788" t="s">
        <v>964</v>
      </c>
      <c r="S1788" t="s">
        <v>36</v>
      </c>
      <c r="T1788" t="str">
        <f>"85042"</f>
        <v>85042</v>
      </c>
      <c r="U1788" t="str">
        <f>""</f>
        <v/>
      </c>
      <c r="V1788" t="s">
        <v>6295</v>
      </c>
      <c r="X1788" t="s">
        <v>964</v>
      </c>
      <c r="Y1788" t="s">
        <v>36</v>
      </c>
      <c r="Z1788" t="str">
        <f>"85042"</f>
        <v>85042</v>
      </c>
      <c r="AA1788" t="str">
        <f>""</f>
        <v/>
      </c>
      <c r="AB1788" t="s">
        <v>217</v>
      </c>
    </row>
    <row r="1789" spans="1:28" x14ac:dyDescent="0.25">
      <c r="A1789">
        <v>79207</v>
      </c>
      <c r="B1789" t="str">
        <f t="shared" si="297"/>
        <v>078791000</v>
      </c>
      <c r="C1789" t="s">
        <v>6287</v>
      </c>
      <c r="D1789">
        <v>5515</v>
      </c>
      <c r="E1789" t="str">
        <f>"078716001"</f>
        <v>078716001</v>
      </c>
      <c r="F1789" t="s">
        <v>6296</v>
      </c>
      <c r="G1789" t="s">
        <v>42</v>
      </c>
      <c r="H1789" t="s">
        <v>1614</v>
      </c>
      <c r="I1789" t="s">
        <v>6297</v>
      </c>
      <c r="J1789" t="s">
        <v>134</v>
      </c>
      <c r="K1789" t="str">
        <f>"6025954007"</f>
        <v>6025954007</v>
      </c>
      <c r="L1789" t="str">
        <f>""</f>
        <v/>
      </c>
      <c r="M1789" t="str">
        <f>"6023235526"</f>
        <v>6023235526</v>
      </c>
      <c r="N1789" t="str">
        <f>""</f>
        <v/>
      </c>
      <c r="O1789" t="s">
        <v>6298</v>
      </c>
      <c r="P1789" t="s">
        <v>6299</v>
      </c>
      <c r="R1789" t="s">
        <v>964</v>
      </c>
      <c r="S1789" t="s">
        <v>36</v>
      </c>
      <c r="T1789" t="str">
        <f>"85040"</f>
        <v>85040</v>
      </c>
      <c r="U1789" t="str">
        <f>""</f>
        <v/>
      </c>
      <c r="V1789" t="s">
        <v>6299</v>
      </c>
      <c r="X1789" t="s">
        <v>964</v>
      </c>
      <c r="Y1789" t="s">
        <v>36</v>
      </c>
      <c r="Z1789" t="str">
        <f>"85040"</f>
        <v>85040</v>
      </c>
      <c r="AA1789" t="str">
        <f>""</f>
        <v/>
      </c>
      <c r="AB1789" t="s">
        <v>217</v>
      </c>
    </row>
    <row r="1790" spans="1:28" x14ac:dyDescent="0.25">
      <c r="A1790">
        <v>79207</v>
      </c>
      <c r="B1790" t="str">
        <f t="shared" si="297"/>
        <v>078791000</v>
      </c>
      <c r="C1790" t="s">
        <v>6287</v>
      </c>
      <c r="D1790">
        <v>5520</v>
      </c>
      <c r="E1790" t="str">
        <f>"078723201"</f>
        <v>078723201</v>
      </c>
      <c r="F1790" t="s">
        <v>6300</v>
      </c>
      <c r="G1790" t="s">
        <v>42</v>
      </c>
      <c r="H1790" t="s">
        <v>1827</v>
      </c>
      <c r="I1790" t="s">
        <v>6301</v>
      </c>
      <c r="J1790" t="s">
        <v>5777</v>
      </c>
      <c r="K1790" t="str">
        <f>"6233239890"</f>
        <v>6233239890</v>
      </c>
      <c r="L1790" t="str">
        <f>""</f>
        <v/>
      </c>
      <c r="M1790" t="str">
        <f>""</f>
        <v/>
      </c>
      <c r="N1790" t="str">
        <f>""</f>
        <v/>
      </c>
      <c r="O1790" t="s">
        <v>6302</v>
      </c>
      <c r="P1790" t="s">
        <v>6303</v>
      </c>
      <c r="R1790" t="s">
        <v>964</v>
      </c>
      <c r="S1790" t="s">
        <v>36</v>
      </c>
      <c r="T1790" t="str">
        <f>"85003"</f>
        <v>85003</v>
      </c>
      <c r="U1790" t="str">
        <f>""</f>
        <v/>
      </c>
      <c r="V1790" t="s">
        <v>6303</v>
      </c>
      <c r="X1790" t="s">
        <v>964</v>
      </c>
      <c r="Y1790" t="s">
        <v>36</v>
      </c>
      <c r="Z1790" t="str">
        <f>"85003"</f>
        <v>85003</v>
      </c>
      <c r="AA1790" t="str">
        <f>""</f>
        <v/>
      </c>
      <c r="AB1790" t="s">
        <v>217</v>
      </c>
    </row>
    <row r="1791" spans="1:28" x14ac:dyDescent="0.25">
      <c r="A1791">
        <v>79207</v>
      </c>
      <c r="B1791" t="str">
        <f t="shared" si="297"/>
        <v>078791000</v>
      </c>
      <c r="C1791" t="s">
        <v>6287</v>
      </c>
      <c r="D1791">
        <v>78843</v>
      </c>
      <c r="E1791" t="str">
        <f>"078791101"</f>
        <v>078791101</v>
      </c>
      <c r="F1791" t="s">
        <v>6287</v>
      </c>
      <c r="G1791" t="s">
        <v>42</v>
      </c>
      <c r="H1791" t="s">
        <v>5660</v>
      </c>
      <c r="I1791" t="s">
        <v>6304</v>
      </c>
      <c r="J1791" t="s">
        <v>3734</v>
      </c>
      <c r="K1791" t="str">
        <f>"6024041009"</f>
        <v>6024041009</v>
      </c>
      <c r="L1791" t="str">
        <f>""</f>
        <v/>
      </c>
      <c r="M1791" t="str">
        <f>""</f>
        <v/>
      </c>
      <c r="N1791" t="str">
        <f>""</f>
        <v/>
      </c>
      <c r="O1791" t="s">
        <v>6305</v>
      </c>
      <c r="P1791" t="s">
        <v>6306</v>
      </c>
      <c r="R1791" t="s">
        <v>964</v>
      </c>
      <c r="S1791" t="s">
        <v>36</v>
      </c>
      <c r="T1791" t="str">
        <f>"85032"</f>
        <v>85032</v>
      </c>
      <c r="U1791" t="str">
        <f>""</f>
        <v/>
      </c>
      <c r="V1791" t="s">
        <v>6306</v>
      </c>
      <c r="X1791" t="s">
        <v>964</v>
      </c>
      <c r="Y1791" t="s">
        <v>36</v>
      </c>
      <c r="Z1791" t="str">
        <f>"85032"</f>
        <v>85032</v>
      </c>
      <c r="AA1791" t="str">
        <f>""</f>
        <v/>
      </c>
      <c r="AB1791" t="s">
        <v>217</v>
      </c>
    </row>
    <row r="1792" spans="1:28" x14ac:dyDescent="0.25">
      <c r="A1792">
        <v>79207</v>
      </c>
      <c r="B1792" t="str">
        <f t="shared" si="297"/>
        <v>078791000</v>
      </c>
      <c r="C1792" t="s">
        <v>6287</v>
      </c>
      <c r="D1792">
        <v>79129</v>
      </c>
      <c r="E1792" t="str">
        <f>"078524201"</f>
        <v>078524201</v>
      </c>
      <c r="F1792" t="s">
        <v>6307</v>
      </c>
      <c r="G1792" t="s">
        <v>42</v>
      </c>
      <c r="H1792" t="s">
        <v>6308</v>
      </c>
      <c r="I1792" t="s">
        <v>6309</v>
      </c>
      <c r="J1792" t="s">
        <v>5661</v>
      </c>
      <c r="K1792" t="str">
        <f>"6022855525"</f>
        <v>6022855525</v>
      </c>
      <c r="L1792" t="str">
        <f>""</f>
        <v/>
      </c>
      <c r="M1792" t="str">
        <f>""</f>
        <v/>
      </c>
      <c r="N1792" t="str">
        <f>""</f>
        <v/>
      </c>
      <c r="O1792" t="s">
        <v>6310</v>
      </c>
      <c r="P1792" t="s">
        <v>6311</v>
      </c>
      <c r="R1792" t="s">
        <v>964</v>
      </c>
      <c r="S1792" t="s">
        <v>36</v>
      </c>
      <c r="T1792" t="str">
        <f>"85017"</f>
        <v>85017</v>
      </c>
      <c r="U1792" t="str">
        <f>""</f>
        <v/>
      </c>
      <c r="V1792" t="s">
        <v>6311</v>
      </c>
      <c r="X1792" t="s">
        <v>964</v>
      </c>
      <c r="Y1792" t="s">
        <v>36</v>
      </c>
      <c r="Z1792" t="str">
        <f>"85017"</f>
        <v>85017</v>
      </c>
      <c r="AA1792" t="str">
        <f>""</f>
        <v/>
      </c>
      <c r="AB1792" t="s">
        <v>217</v>
      </c>
    </row>
    <row r="1793" spans="1:28" x14ac:dyDescent="0.25">
      <c r="A1793">
        <v>79207</v>
      </c>
      <c r="B1793" t="str">
        <f t="shared" si="297"/>
        <v>078791000</v>
      </c>
      <c r="C1793" t="s">
        <v>6287</v>
      </c>
      <c r="D1793">
        <v>80050</v>
      </c>
      <c r="E1793" t="str">
        <f>"078524001"</f>
        <v>078524001</v>
      </c>
      <c r="F1793" t="s">
        <v>6312</v>
      </c>
      <c r="G1793" t="s">
        <v>42</v>
      </c>
      <c r="H1793" t="s">
        <v>6313</v>
      </c>
      <c r="I1793" t="s">
        <v>6314</v>
      </c>
      <c r="J1793" t="s">
        <v>486</v>
      </c>
      <c r="K1793" t="str">
        <f>"6029550355"</f>
        <v>6029550355</v>
      </c>
      <c r="L1793" t="str">
        <f>""</f>
        <v/>
      </c>
      <c r="M1793" t="str">
        <f>"6029554805"</f>
        <v>6029554805</v>
      </c>
      <c r="N1793" t="str">
        <f>""</f>
        <v/>
      </c>
      <c r="O1793" t="s">
        <v>6315</v>
      </c>
      <c r="P1793" t="s">
        <v>6316</v>
      </c>
      <c r="R1793" t="s">
        <v>964</v>
      </c>
      <c r="S1793" t="s">
        <v>36</v>
      </c>
      <c r="T1793" t="str">
        <f>"85018"</f>
        <v>85018</v>
      </c>
      <c r="U1793" t="str">
        <f>""</f>
        <v/>
      </c>
      <c r="V1793" t="s">
        <v>6316</v>
      </c>
      <c r="X1793" t="s">
        <v>964</v>
      </c>
      <c r="Y1793" t="s">
        <v>36</v>
      </c>
      <c r="Z1793" t="str">
        <f>"85018"</f>
        <v>85018</v>
      </c>
      <c r="AA1793" t="str">
        <f>""</f>
        <v/>
      </c>
      <c r="AB1793" t="s">
        <v>217</v>
      </c>
    </row>
    <row r="1794" spans="1:28" x14ac:dyDescent="0.25">
      <c r="A1794">
        <v>79207</v>
      </c>
      <c r="B1794" t="str">
        <f t="shared" si="297"/>
        <v>078791000</v>
      </c>
      <c r="C1794" t="s">
        <v>6287</v>
      </c>
      <c r="D1794">
        <v>80430</v>
      </c>
      <c r="E1794" t="str">
        <f>"078524203"</f>
        <v>078524203</v>
      </c>
      <c r="F1794" t="s">
        <v>6317</v>
      </c>
      <c r="G1794" t="s">
        <v>42</v>
      </c>
      <c r="H1794" t="s">
        <v>6318</v>
      </c>
      <c r="I1794" t="s">
        <v>6319</v>
      </c>
      <c r="J1794" t="s">
        <v>526</v>
      </c>
      <c r="K1794" t="str">
        <f>"6023934200"</f>
        <v>6023934200</v>
      </c>
      <c r="L1794" t="str">
        <f>""</f>
        <v/>
      </c>
      <c r="M1794" t="str">
        <f>"6023934205"</f>
        <v>6023934205</v>
      </c>
      <c r="N1794" t="str">
        <f>""</f>
        <v/>
      </c>
      <c r="O1794" t="s">
        <v>6320</v>
      </c>
      <c r="P1794" t="s">
        <v>6321</v>
      </c>
      <c r="R1794" t="s">
        <v>964</v>
      </c>
      <c r="S1794" t="s">
        <v>36</v>
      </c>
      <c r="T1794" t="str">
        <f>"85034"</f>
        <v>85034</v>
      </c>
      <c r="U1794" t="str">
        <f>""</f>
        <v/>
      </c>
      <c r="V1794" t="s">
        <v>6321</v>
      </c>
      <c r="X1794" t="s">
        <v>964</v>
      </c>
      <c r="Y1794" t="s">
        <v>36</v>
      </c>
      <c r="Z1794" t="str">
        <f>"85034"</f>
        <v>85034</v>
      </c>
      <c r="AA1794" t="str">
        <f>""</f>
        <v/>
      </c>
      <c r="AB1794" t="s">
        <v>217</v>
      </c>
    </row>
    <row r="1795" spans="1:28" x14ac:dyDescent="0.25">
      <c r="A1795">
        <v>79207</v>
      </c>
      <c r="B1795" t="str">
        <f t="shared" si="297"/>
        <v>078791000</v>
      </c>
      <c r="C1795" t="s">
        <v>6287</v>
      </c>
      <c r="D1795">
        <v>91788</v>
      </c>
      <c r="E1795" t="str">
        <f>"078634202"</f>
        <v>078634202</v>
      </c>
      <c r="F1795" t="s">
        <v>6322</v>
      </c>
      <c r="G1795" t="s">
        <v>42</v>
      </c>
      <c r="H1795" t="s">
        <v>2999</v>
      </c>
      <c r="I1795" t="s">
        <v>6323</v>
      </c>
      <c r="J1795" t="s">
        <v>5777</v>
      </c>
      <c r="K1795" t="str">
        <f>"4803442600"</f>
        <v>4803442600</v>
      </c>
      <c r="L1795" t="str">
        <f>"404"</f>
        <v>404</v>
      </c>
      <c r="M1795" t="str">
        <f>""</f>
        <v/>
      </c>
      <c r="N1795" t="str">
        <f>""</f>
        <v/>
      </c>
      <c r="O1795" t="s">
        <v>6324</v>
      </c>
      <c r="P1795" t="s">
        <v>6325</v>
      </c>
      <c r="R1795" t="s">
        <v>979</v>
      </c>
      <c r="S1795" t="s">
        <v>36</v>
      </c>
      <c r="T1795" t="str">
        <f>"85201"</f>
        <v>85201</v>
      </c>
      <c r="U1795" t="str">
        <f>""</f>
        <v/>
      </c>
      <c r="V1795" t="s">
        <v>6325</v>
      </c>
      <c r="X1795" t="s">
        <v>979</v>
      </c>
      <c r="Y1795" t="s">
        <v>36</v>
      </c>
      <c r="Z1795" t="str">
        <f>"85201"</f>
        <v>85201</v>
      </c>
      <c r="AA1795" t="str">
        <f>""</f>
        <v/>
      </c>
      <c r="AB1795" t="s">
        <v>217</v>
      </c>
    </row>
    <row r="1796" spans="1:28" x14ac:dyDescent="0.25">
      <c r="A1796">
        <v>79207</v>
      </c>
      <c r="B1796" t="str">
        <f t="shared" si="297"/>
        <v>078791000</v>
      </c>
      <c r="C1796" t="s">
        <v>6287</v>
      </c>
      <c r="D1796">
        <v>92531</v>
      </c>
      <c r="E1796" t="str">
        <f>"071980001"</f>
        <v>071980001</v>
      </c>
      <c r="F1796" t="s">
        <v>6326</v>
      </c>
      <c r="G1796" t="s">
        <v>42</v>
      </c>
      <c r="H1796" t="s">
        <v>6327</v>
      </c>
      <c r="I1796" t="s">
        <v>6328</v>
      </c>
      <c r="J1796" t="s">
        <v>3734</v>
      </c>
      <c r="K1796" t="str">
        <f>"6022767815"</f>
        <v>6022767815</v>
      </c>
      <c r="L1796" t="str">
        <f>""</f>
        <v/>
      </c>
      <c r="M1796" t="str">
        <f>""</f>
        <v/>
      </c>
      <c r="N1796" t="str">
        <f>""</f>
        <v/>
      </c>
      <c r="O1796" t="s">
        <v>6329</v>
      </c>
      <c r="P1796" t="s">
        <v>6330</v>
      </c>
      <c r="R1796" t="s">
        <v>964</v>
      </c>
      <c r="S1796" t="s">
        <v>36</v>
      </c>
      <c r="T1796" t="str">
        <f>"85041"</f>
        <v>85041</v>
      </c>
      <c r="U1796" t="str">
        <f>""</f>
        <v/>
      </c>
      <c r="V1796" t="s">
        <v>6330</v>
      </c>
      <c r="X1796" t="s">
        <v>964</v>
      </c>
      <c r="Y1796" t="s">
        <v>36</v>
      </c>
      <c r="Z1796" t="str">
        <f>"85041"</f>
        <v>85041</v>
      </c>
      <c r="AA1796" t="str">
        <f>""</f>
        <v/>
      </c>
      <c r="AB1796" t="s">
        <v>217</v>
      </c>
    </row>
    <row r="1797" spans="1:28" x14ac:dyDescent="0.25">
      <c r="A1797">
        <v>79207</v>
      </c>
      <c r="B1797" t="str">
        <f t="shared" si="297"/>
        <v>078791000</v>
      </c>
      <c r="C1797" t="s">
        <v>6287</v>
      </c>
      <c r="D1797">
        <v>92619</v>
      </c>
      <c r="E1797" t="str">
        <f>"078221001"</f>
        <v>078221001</v>
      </c>
      <c r="F1797" t="s">
        <v>6331</v>
      </c>
      <c r="G1797" t="s">
        <v>42</v>
      </c>
      <c r="H1797" t="s">
        <v>6332</v>
      </c>
      <c r="I1797" t="s">
        <v>6333</v>
      </c>
      <c r="J1797" t="s">
        <v>6334</v>
      </c>
      <c r="K1797" t="str">
        <f>"6232493900"</f>
        <v>6232493900</v>
      </c>
      <c r="L1797" t="str">
        <f>""</f>
        <v/>
      </c>
      <c r="M1797" t="str">
        <f>""</f>
        <v/>
      </c>
      <c r="N1797" t="str">
        <f>""</f>
        <v/>
      </c>
      <c r="O1797" t="s">
        <v>6335</v>
      </c>
      <c r="P1797" t="s">
        <v>6336</v>
      </c>
      <c r="R1797" t="s">
        <v>964</v>
      </c>
      <c r="S1797" t="s">
        <v>36</v>
      </c>
      <c r="T1797" t="str">
        <f>"85033"</f>
        <v>85033</v>
      </c>
      <c r="U1797" t="str">
        <f>""</f>
        <v/>
      </c>
      <c r="V1797" t="s">
        <v>6336</v>
      </c>
      <c r="X1797" t="s">
        <v>964</v>
      </c>
      <c r="Y1797" t="s">
        <v>36</v>
      </c>
      <c r="Z1797" t="str">
        <f>"85033"</f>
        <v>85033</v>
      </c>
      <c r="AA1797" t="str">
        <f>""</f>
        <v/>
      </c>
      <c r="AB1797" t="s">
        <v>217</v>
      </c>
    </row>
    <row r="1798" spans="1:28" x14ac:dyDescent="0.25">
      <c r="A1798">
        <v>79207</v>
      </c>
      <c r="B1798" t="str">
        <f t="shared" si="297"/>
        <v>078791000</v>
      </c>
      <c r="C1798" t="s">
        <v>6287</v>
      </c>
      <c r="D1798">
        <v>92634</v>
      </c>
      <c r="E1798" t="str">
        <f>"132117001"</f>
        <v>132117001</v>
      </c>
      <c r="F1798" t="s">
        <v>6337</v>
      </c>
      <c r="G1798" t="s">
        <v>42</v>
      </c>
      <c r="H1798" t="s">
        <v>3636</v>
      </c>
      <c r="I1798" t="s">
        <v>6338</v>
      </c>
      <c r="J1798" t="s">
        <v>202</v>
      </c>
      <c r="K1798" t="str">
        <f>"6022375575"</f>
        <v>6022375575</v>
      </c>
      <c r="L1798" t="str">
        <f>""</f>
        <v/>
      </c>
      <c r="M1798" t="str">
        <f>""</f>
        <v/>
      </c>
      <c r="N1798" t="str">
        <f>""</f>
        <v/>
      </c>
      <c r="O1798" t="s">
        <v>6339</v>
      </c>
      <c r="P1798" t="s">
        <v>6340</v>
      </c>
      <c r="R1798" t="s">
        <v>964</v>
      </c>
      <c r="S1798" t="s">
        <v>36</v>
      </c>
      <c r="T1798" t="str">
        <f>"85061"</f>
        <v>85061</v>
      </c>
      <c r="U1798" t="str">
        <f>""</f>
        <v/>
      </c>
      <c r="V1798" t="s">
        <v>6340</v>
      </c>
      <c r="X1798" t="s">
        <v>964</v>
      </c>
      <c r="Y1798" t="s">
        <v>36</v>
      </c>
      <c r="Z1798" t="str">
        <f>"85061"</f>
        <v>85061</v>
      </c>
      <c r="AA1798" t="str">
        <f>""</f>
        <v/>
      </c>
      <c r="AB1798" t="s">
        <v>217</v>
      </c>
    </row>
    <row r="1799" spans="1:28" x14ac:dyDescent="0.25">
      <c r="A1799">
        <v>79214</v>
      </c>
      <c r="B1799" t="str">
        <f>"078901000"</f>
        <v>078901000</v>
      </c>
      <c r="C1799" t="s">
        <v>6341</v>
      </c>
      <c r="D1799">
        <v>0</v>
      </c>
      <c r="E1799" t="str">
        <f>""</f>
        <v/>
      </c>
      <c r="G1799" t="s">
        <v>29</v>
      </c>
      <c r="H1799" t="s">
        <v>3000</v>
      </c>
      <c r="I1799" t="s">
        <v>785</v>
      </c>
      <c r="J1799" t="s">
        <v>32</v>
      </c>
      <c r="K1799" t="str">
        <f>"4806714584"</f>
        <v>4806714584</v>
      </c>
      <c r="L1799" t="str">
        <f>""</f>
        <v/>
      </c>
      <c r="M1799" t="str">
        <f>"4806714586"</f>
        <v>4806714586</v>
      </c>
      <c r="N1799" t="str">
        <f>""</f>
        <v/>
      </c>
      <c r="O1799" t="s">
        <v>6342</v>
      </c>
      <c r="P1799" t="s">
        <v>6343</v>
      </c>
      <c r="R1799" t="s">
        <v>4907</v>
      </c>
      <c r="S1799" t="s">
        <v>36</v>
      </c>
      <c r="T1799" t="str">
        <f>"85120"</f>
        <v>85120</v>
      </c>
      <c r="U1799" t="str">
        <f>""</f>
        <v/>
      </c>
      <c r="V1799" t="s">
        <v>6343</v>
      </c>
      <c r="X1799" t="s">
        <v>4907</v>
      </c>
      <c r="Y1799" t="s">
        <v>36</v>
      </c>
      <c r="Z1799" t="str">
        <f>"85120"</f>
        <v>85120</v>
      </c>
      <c r="AA1799" t="str">
        <f>""</f>
        <v/>
      </c>
      <c r="AB1799" t="s">
        <v>265</v>
      </c>
    </row>
    <row r="1800" spans="1:28" x14ac:dyDescent="0.25">
      <c r="A1800">
        <v>79214</v>
      </c>
      <c r="B1800" t="str">
        <f>"078901000"</f>
        <v>078901000</v>
      </c>
      <c r="C1800" t="s">
        <v>6341</v>
      </c>
      <c r="D1800">
        <v>81173</v>
      </c>
      <c r="E1800" t="str">
        <f>"078901003"</f>
        <v>078901003</v>
      </c>
      <c r="F1800" t="s">
        <v>6344</v>
      </c>
      <c r="G1800" t="s">
        <v>42</v>
      </c>
      <c r="H1800" t="s">
        <v>3000</v>
      </c>
      <c r="I1800" t="s">
        <v>785</v>
      </c>
      <c r="J1800" t="s">
        <v>6345</v>
      </c>
      <c r="K1800" t="str">
        <f>"4806714584"</f>
        <v>4806714584</v>
      </c>
      <c r="L1800" t="str">
        <f>"2119"</f>
        <v>2119</v>
      </c>
      <c r="M1800" t="str">
        <f>"4806714586"</f>
        <v>4806714586</v>
      </c>
      <c r="N1800" t="str">
        <f>""</f>
        <v/>
      </c>
      <c r="O1800" t="s">
        <v>6342</v>
      </c>
      <c r="P1800" t="s">
        <v>6346</v>
      </c>
      <c r="R1800" t="s">
        <v>6347</v>
      </c>
      <c r="S1800" t="s">
        <v>36</v>
      </c>
      <c r="T1800" t="str">
        <f>"85120"</f>
        <v>85120</v>
      </c>
      <c r="U1800" t="str">
        <f>""</f>
        <v/>
      </c>
      <c r="V1800" t="s">
        <v>6346</v>
      </c>
      <c r="X1800" t="s">
        <v>6347</v>
      </c>
      <c r="Y1800" t="s">
        <v>36</v>
      </c>
      <c r="Z1800" t="str">
        <f>"85120"</f>
        <v>85120</v>
      </c>
      <c r="AA1800" t="str">
        <f>""</f>
        <v/>
      </c>
      <c r="AB1800" t="s">
        <v>265</v>
      </c>
    </row>
    <row r="1801" spans="1:28" x14ac:dyDescent="0.25">
      <c r="A1801">
        <v>79218</v>
      </c>
      <c r="B1801" t="str">
        <f>"088702000"</f>
        <v>088702000</v>
      </c>
      <c r="C1801" t="s">
        <v>6348</v>
      </c>
      <c r="D1801">
        <v>0</v>
      </c>
      <c r="E1801" t="str">
        <f>""</f>
        <v/>
      </c>
      <c r="G1801" t="s">
        <v>29</v>
      </c>
      <c r="H1801" t="s">
        <v>1561</v>
      </c>
      <c r="I1801" t="s">
        <v>6349</v>
      </c>
      <c r="J1801" t="s">
        <v>32</v>
      </c>
      <c r="K1801" t="str">
        <f>"9288558661"</f>
        <v>9288558661</v>
      </c>
      <c r="L1801" t="str">
        <f>"160"</f>
        <v>160</v>
      </c>
      <c r="M1801" t="str">
        <f>"9288559302"</f>
        <v>9288559302</v>
      </c>
      <c r="N1801" t="str">
        <f>""</f>
        <v/>
      </c>
      <c r="O1801" t="s">
        <v>6350</v>
      </c>
      <c r="P1801" t="s">
        <v>6351</v>
      </c>
      <c r="Q1801" t="s">
        <v>6351</v>
      </c>
      <c r="R1801" t="s">
        <v>3796</v>
      </c>
      <c r="S1801" t="s">
        <v>36</v>
      </c>
      <c r="T1801" t="str">
        <f>"86403"</f>
        <v>86403</v>
      </c>
      <c r="U1801" t="str">
        <f>""</f>
        <v/>
      </c>
      <c r="V1801" t="s">
        <v>6351</v>
      </c>
      <c r="W1801" t="s">
        <v>6351</v>
      </c>
      <c r="X1801" t="s">
        <v>3796</v>
      </c>
      <c r="Y1801" t="s">
        <v>36</v>
      </c>
      <c r="Z1801" t="str">
        <f>"86403"</f>
        <v>86403</v>
      </c>
      <c r="AA1801" t="str">
        <f>""</f>
        <v/>
      </c>
      <c r="AB1801" t="s">
        <v>217</v>
      </c>
    </row>
    <row r="1802" spans="1:28" x14ac:dyDescent="0.25">
      <c r="A1802">
        <v>79218</v>
      </c>
      <c r="B1802" t="str">
        <f>"088702000"</f>
        <v>088702000</v>
      </c>
      <c r="C1802" t="s">
        <v>6348</v>
      </c>
      <c r="D1802">
        <v>78857</v>
      </c>
      <c r="E1802" t="str">
        <f>"088702001"</f>
        <v>088702001</v>
      </c>
      <c r="F1802" t="s">
        <v>6352</v>
      </c>
      <c r="G1802" t="s">
        <v>42</v>
      </c>
      <c r="H1802" t="s">
        <v>1561</v>
      </c>
      <c r="I1802" t="s">
        <v>6349</v>
      </c>
      <c r="J1802" t="s">
        <v>32</v>
      </c>
      <c r="K1802" t="str">
        <f>"9288558661"</f>
        <v>9288558661</v>
      </c>
      <c r="L1802" t="str">
        <f>"160"</f>
        <v>160</v>
      </c>
      <c r="M1802" t="str">
        <f>"9288559302"</f>
        <v>9288559302</v>
      </c>
      <c r="N1802" t="str">
        <f>""</f>
        <v/>
      </c>
      <c r="O1802" t="s">
        <v>6350</v>
      </c>
      <c r="P1802" t="s">
        <v>6353</v>
      </c>
      <c r="R1802" t="s">
        <v>3796</v>
      </c>
      <c r="S1802" t="s">
        <v>36</v>
      </c>
      <c r="T1802" t="str">
        <f>"86403"</f>
        <v>86403</v>
      </c>
      <c r="U1802" t="str">
        <f>""</f>
        <v/>
      </c>
      <c r="V1802" t="s">
        <v>6354</v>
      </c>
      <c r="X1802" t="s">
        <v>3796</v>
      </c>
      <c r="Y1802" t="s">
        <v>36</v>
      </c>
      <c r="Z1802" t="str">
        <f>"86403"</f>
        <v>86403</v>
      </c>
      <c r="AA1802" t="str">
        <f>""</f>
        <v/>
      </c>
      <c r="AB1802" t="s">
        <v>217</v>
      </c>
    </row>
    <row r="1803" spans="1:28" x14ac:dyDescent="0.25">
      <c r="A1803">
        <v>79218</v>
      </c>
      <c r="B1803" t="str">
        <f>"088702000"</f>
        <v>088702000</v>
      </c>
      <c r="C1803" t="s">
        <v>6348</v>
      </c>
      <c r="D1803">
        <v>80980</v>
      </c>
      <c r="E1803" t="str">
        <f>"088702002"</f>
        <v>088702002</v>
      </c>
      <c r="F1803" t="s">
        <v>6355</v>
      </c>
      <c r="G1803" t="s">
        <v>42</v>
      </c>
      <c r="H1803" t="s">
        <v>1561</v>
      </c>
      <c r="I1803" t="s">
        <v>6349</v>
      </c>
      <c r="J1803" t="s">
        <v>32</v>
      </c>
      <c r="K1803" t="str">
        <f>"9288558661"</f>
        <v>9288558661</v>
      </c>
      <c r="L1803" t="str">
        <f>"160"</f>
        <v>160</v>
      </c>
      <c r="M1803" t="str">
        <f>"9288559302"</f>
        <v>9288559302</v>
      </c>
      <c r="N1803" t="str">
        <f>""</f>
        <v/>
      </c>
      <c r="O1803" t="s">
        <v>6350</v>
      </c>
      <c r="P1803" t="s">
        <v>6356</v>
      </c>
      <c r="R1803" t="s">
        <v>3796</v>
      </c>
      <c r="S1803" t="s">
        <v>36</v>
      </c>
      <c r="T1803" t="str">
        <f>"86403"</f>
        <v>86403</v>
      </c>
      <c r="U1803" t="str">
        <f>""</f>
        <v/>
      </c>
      <c r="V1803" t="s">
        <v>6356</v>
      </c>
      <c r="X1803" t="s">
        <v>3796</v>
      </c>
      <c r="Y1803" t="s">
        <v>36</v>
      </c>
      <c r="Z1803" t="str">
        <f>"86403"</f>
        <v>86403</v>
      </c>
      <c r="AA1803" t="str">
        <f>""</f>
        <v/>
      </c>
      <c r="AB1803" t="s">
        <v>217</v>
      </c>
    </row>
    <row r="1804" spans="1:28" x14ac:dyDescent="0.25">
      <c r="A1804">
        <v>79226</v>
      </c>
      <c r="B1804" t="str">
        <f>"020209000"</f>
        <v>020209000</v>
      </c>
      <c r="C1804" t="s">
        <v>6357</v>
      </c>
      <c r="D1804">
        <v>0</v>
      </c>
      <c r="E1804" t="str">
        <f>""</f>
        <v/>
      </c>
      <c r="G1804" t="s">
        <v>29</v>
      </c>
      <c r="H1804" t="s">
        <v>1965</v>
      </c>
      <c r="I1804" t="s">
        <v>6358</v>
      </c>
      <c r="J1804" t="s">
        <v>6359</v>
      </c>
      <c r="K1804" t="str">
        <f>"5207206732"</f>
        <v>5207206732</v>
      </c>
      <c r="L1804" t="str">
        <f>""</f>
        <v/>
      </c>
      <c r="M1804" t="str">
        <f>"5207206701"</f>
        <v>5207206701</v>
      </c>
      <c r="N1804" t="str">
        <f>""</f>
        <v/>
      </c>
      <c r="O1804" t="s">
        <v>6360</v>
      </c>
      <c r="P1804" t="s">
        <v>6361</v>
      </c>
      <c r="R1804" t="s">
        <v>498</v>
      </c>
      <c r="S1804" t="s">
        <v>36</v>
      </c>
      <c r="T1804" t="str">
        <f>"85602"</f>
        <v>85602</v>
      </c>
      <c r="U1804" t="str">
        <f>""</f>
        <v/>
      </c>
      <c r="V1804" t="s">
        <v>6361</v>
      </c>
      <c r="X1804" t="s">
        <v>498</v>
      </c>
      <c r="Y1804" t="s">
        <v>36</v>
      </c>
      <c r="Z1804" t="str">
        <f>"85602"</f>
        <v>85602</v>
      </c>
      <c r="AA1804" t="str">
        <f>""</f>
        <v/>
      </c>
      <c r="AB1804" t="s">
        <v>86</v>
      </c>
    </row>
    <row r="1805" spans="1:28" x14ac:dyDescent="0.25">
      <c r="A1805">
        <v>79226</v>
      </c>
      <c r="B1805" t="str">
        <f>"020209000"</f>
        <v>020209000</v>
      </c>
      <c r="C1805" t="s">
        <v>6357</v>
      </c>
      <c r="D1805">
        <v>4793</v>
      </c>
      <c r="E1805" t="str">
        <f>"020209101"</f>
        <v>020209101</v>
      </c>
      <c r="F1805" t="s">
        <v>6362</v>
      </c>
      <c r="G1805" t="s">
        <v>42</v>
      </c>
      <c r="H1805" t="s">
        <v>435</v>
      </c>
      <c r="I1805" t="s">
        <v>3474</v>
      </c>
      <c r="J1805" t="s">
        <v>32</v>
      </c>
      <c r="K1805" t="str">
        <f>"5207206741"</f>
        <v>5207206741</v>
      </c>
      <c r="L1805" t="str">
        <f>"0"</f>
        <v>0</v>
      </c>
      <c r="M1805" t="str">
        <f>"5207206705"</f>
        <v>5207206705</v>
      </c>
      <c r="N1805" t="str">
        <f>""</f>
        <v/>
      </c>
      <c r="O1805" t="s">
        <v>6363</v>
      </c>
      <c r="P1805" t="s">
        <v>6364</v>
      </c>
      <c r="R1805" t="s">
        <v>498</v>
      </c>
      <c r="S1805" t="s">
        <v>36</v>
      </c>
      <c r="T1805" t="str">
        <f>"85602"</f>
        <v>85602</v>
      </c>
      <c r="U1805" t="str">
        <f>""</f>
        <v/>
      </c>
      <c r="V1805" t="s">
        <v>6361</v>
      </c>
      <c r="X1805" t="s">
        <v>498</v>
      </c>
      <c r="Y1805" t="s">
        <v>36</v>
      </c>
      <c r="Z1805" t="str">
        <f>"85602"</f>
        <v>85602</v>
      </c>
      <c r="AA1805" t="str">
        <f>""</f>
        <v/>
      </c>
      <c r="AB1805" t="s">
        <v>86</v>
      </c>
    </row>
    <row r="1806" spans="1:28" x14ac:dyDescent="0.25">
      <c r="A1806">
        <v>79226</v>
      </c>
      <c r="B1806" t="str">
        <f>"020209000"</f>
        <v>020209000</v>
      </c>
      <c r="C1806" t="s">
        <v>6357</v>
      </c>
      <c r="D1806">
        <v>4794</v>
      </c>
      <c r="E1806" t="str">
        <f>"020209102"</f>
        <v>020209102</v>
      </c>
      <c r="F1806" t="s">
        <v>6365</v>
      </c>
      <c r="G1806" t="s">
        <v>42</v>
      </c>
      <c r="H1806" t="s">
        <v>435</v>
      </c>
      <c r="I1806" t="s">
        <v>3474</v>
      </c>
      <c r="J1806" t="s">
        <v>32</v>
      </c>
      <c r="K1806" t="str">
        <f>"5207206741"</f>
        <v>5207206741</v>
      </c>
      <c r="L1806" t="str">
        <f>""</f>
        <v/>
      </c>
      <c r="M1806" t="str">
        <f>"5207206705"</f>
        <v>5207206705</v>
      </c>
      <c r="N1806" t="str">
        <f>""</f>
        <v/>
      </c>
      <c r="O1806" t="s">
        <v>6363</v>
      </c>
      <c r="P1806" t="s">
        <v>6361</v>
      </c>
      <c r="R1806" t="s">
        <v>498</v>
      </c>
      <c r="S1806" t="s">
        <v>36</v>
      </c>
      <c r="T1806" t="str">
        <f>"85602"</f>
        <v>85602</v>
      </c>
      <c r="U1806" t="str">
        <f>""</f>
        <v/>
      </c>
      <c r="V1806" t="s">
        <v>6361</v>
      </c>
      <c r="X1806" t="s">
        <v>498</v>
      </c>
      <c r="Y1806" t="s">
        <v>36</v>
      </c>
      <c r="Z1806" t="str">
        <f>"85602"</f>
        <v>85602</v>
      </c>
      <c r="AA1806" t="str">
        <f>""</f>
        <v/>
      </c>
      <c r="AB1806" t="s">
        <v>86</v>
      </c>
    </row>
    <row r="1807" spans="1:28" x14ac:dyDescent="0.25">
      <c r="A1807">
        <v>79226</v>
      </c>
      <c r="B1807" t="str">
        <f>"020209000"</f>
        <v>020209000</v>
      </c>
      <c r="C1807" t="s">
        <v>6357</v>
      </c>
      <c r="D1807">
        <v>4799</v>
      </c>
      <c r="E1807" t="str">
        <f>"020209201"</f>
        <v>020209201</v>
      </c>
      <c r="F1807" t="s">
        <v>6366</v>
      </c>
      <c r="G1807" t="s">
        <v>42</v>
      </c>
      <c r="H1807" t="s">
        <v>435</v>
      </c>
      <c r="I1807" t="s">
        <v>3474</v>
      </c>
      <c r="J1807" t="s">
        <v>32</v>
      </c>
      <c r="K1807" t="str">
        <f>"5207206741"</f>
        <v>5207206741</v>
      </c>
      <c r="L1807" t="str">
        <f>""</f>
        <v/>
      </c>
      <c r="M1807" t="str">
        <f>"5207206705"</f>
        <v>5207206705</v>
      </c>
      <c r="N1807" t="str">
        <f>""</f>
        <v/>
      </c>
      <c r="O1807" t="s">
        <v>6363</v>
      </c>
      <c r="P1807" t="s">
        <v>6364</v>
      </c>
      <c r="R1807" t="s">
        <v>498</v>
      </c>
      <c r="S1807" t="s">
        <v>36</v>
      </c>
      <c r="T1807" t="str">
        <f>"85602"</f>
        <v>85602</v>
      </c>
      <c r="U1807" t="str">
        <f>""</f>
        <v/>
      </c>
      <c r="V1807" t="s">
        <v>6361</v>
      </c>
      <c r="X1807" t="s">
        <v>498</v>
      </c>
      <c r="Y1807" t="s">
        <v>36</v>
      </c>
      <c r="Z1807" t="str">
        <f>"85602"</f>
        <v>85602</v>
      </c>
      <c r="AA1807" t="str">
        <f>""</f>
        <v/>
      </c>
      <c r="AB1807" t="s">
        <v>86</v>
      </c>
    </row>
    <row r="1808" spans="1:28" x14ac:dyDescent="0.25">
      <c r="A1808">
        <v>79226</v>
      </c>
      <c r="B1808" t="str">
        <f>"020209000"</f>
        <v>020209000</v>
      </c>
      <c r="C1808" t="s">
        <v>6357</v>
      </c>
      <c r="D1808">
        <v>85879</v>
      </c>
      <c r="E1808" t="str">
        <f>"020209202"</f>
        <v>020209202</v>
      </c>
      <c r="F1808" t="s">
        <v>6367</v>
      </c>
      <c r="G1808" t="s">
        <v>42</v>
      </c>
      <c r="H1808" t="s">
        <v>435</v>
      </c>
      <c r="I1808" t="s">
        <v>3474</v>
      </c>
      <c r="J1808" t="s">
        <v>32</v>
      </c>
      <c r="K1808" t="str">
        <f>"5207206741"</f>
        <v>5207206741</v>
      </c>
      <c r="L1808" t="str">
        <f>""</f>
        <v/>
      </c>
      <c r="M1808" t="str">
        <f>"5207206705"</f>
        <v>5207206705</v>
      </c>
      <c r="N1808" t="str">
        <f>""</f>
        <v/>
      </c>
      <c r="O1808" t="s">
        <v>6363</v>
      </c>
      <c r="P1808" t="s">
        <v>6364</v>
      </c>
      <c r="R1808" t="s">
        <v>498</v>
      </c>
      <c r="S1808" t="s">
        <v>36</v>
      </c>
      <c r="T1808" t="str">
        <f>"85602"</f>
        <v>85602</v>
      </c>
      <c r="U1808" t="str">
        <f>""</f>
        <v/>
      </c>
      <c r="V1808" t="s">
        <v>6361</v>
      </c>
      <c r="X1808" t="s">
        <v>498</v>
      </c>
      <c r="Y1808" t="s">
        <v>36</v>
      </c>
      <c r="Z1808" t="str">
        <f>"85602"</f>
        <v>85602</v>
      </c>
      <c r="AA1808" t="str">
        <f>""</f>
        <v/>
      </c>
      <c r="AB1808" t="s">
        <v>86</v>
      </c>
    </row>
    <row r="1809" spans="1:28" x14ac:dyDescent="0.25">
      <c r="A1809">
        <v>79233</v>
      </c>
      <c r="B1809" t="str">
        <f>"078999000"</f>
        <v>078999000</v>
      </c>
      <c r="C1809" t="s">
        <v>6368</v>
      </c>
      <c r="D1809">
        <v>0</v>
      </c>
      <c r="E1809" t="str">
        <f>""</f>
        <v/>
      </c>
      <c r="G1809" t="s">
        <v>29</v>
      </c>
      <c r="H1809" t="s">
        <v>3744</v>
      </c>
      <c r="I1809" t="s">
        <v>590</v>
      </c>
      <c r="J1809" t="s">
        <v>3745</v>
      </c>
      <c r="K1809" t="str">
        <f>"6029532933"</f>
        <v>6029532933</v>
      </c>
      <c r="L1809" t="str">
        <f>""</f>
        <v/>
      </c>
      <c r="M1809" t="str">
        <f>""</f>
        <v/>
      </c>
      <c r="N1809" t="str">
        <f>""</f>
        <v/>
      </c>
      <c r="O1809" t="s">
        <v>3746</v>
      </c>
      <c r="P1809" t="s">
        <v>3747</v>
      </c>
      <c r="R1809" t="s">
        <v>964</v>
      </c>
      <c r="S1809" t="s">
        <v>36</v>
      </c>
      <c r="T1809" t="str">
        <f>"85020"</f>
        <v>85020</v>
      </c>
      <c r="U1809" t="str">
        <f>""</f>
        <v/>
      </c>
      <c r="V1809" t="s">
        <v>3747</v>
      </c>
      <c r="X1809" t="s">
        <v>964</v>
      </c>
      <c r="Y1809" t="s">
        <v>36</v>
      </c>
      <c r="Z1809" t="str">
        <f>"85020"</f>
        <v>85020</v>
      </c>
      <c r="AA1809" t="str">
        <f>""</f>
        <v/>
      </c>
      <c r="AB1809" t="s">
        <v>1466</v>
      </c>
    </row>
    <row r="1810" spans="1:28" x14ac:dyDescent="0.25">
      <c r="A1810">
        <v>79233</v>
      </c>
      <c r="B1810" t="str">
        <f>"078999000"</f>
        <v>078999000</v>
      </c>
      <c r="C1810" t="s">
        <v>6368</v>
      </c>
      <c r="D1810">
        <v>78851</v>
      </c>
      <c r="E1810" t="str">
        <f>"078999001"</f>
        <v>078999001</v>
      </c>
      <c r="F1810" t="s">
        <v>6368</v>
      </c>
      <c r="G1810" t="s">
        <v>42</v>
      </c>
      <c r="H1810" t="s">
        <v>442</v>
      </c>
      <c r="I1810" t="s">
        <v>1298</v>
      </c>
      <c r="J1810" t="s">
        <v>301</v>
      </c>
      <c r="K1810" t="str">
        <f>"6022761943"</f>
        <v>6022761943</v>
      </c>
      <c r="L1810" t="str">
        <f>""</f>
        <v/>
      </c>
      <c r="M1810" t="str">
        <f>"6022762726"</f>
        <v>6022762726</v>
      </c>
      <c r="N1810" t="str">
        <f>""</f>
        <v/>
      </c>
      <c r="O1810" t="s">
        <v>6369</v>
      </c>
      <c r="P1810" t="s">
        <v>6370</v>
      </c>
      <c r="R1810" t="s">
        <v>964</v>
      </c>
      <c r="S1810" t="s">
        <v>36</v>
      </c>
      <c r="T1810" t="str">
        <f>"85040"</f>
        <v>85040</v>
      </c>
      <c r="U1810" t="str">
        <f>""</f>
        <v/>
      </c>
      <c r="V1810" t="s">
        <v>6370</v>
      </c>
      <c r="X1810" t="s">
        <v>964</v>
      </c>
      <c r="Y1810" t="s">
        <v>36</v>
      </c>
      <c r="Z1810" t="str">
        <f>"85040"</f>
        <v>85040</v>
      </c>
      <c r="AA1810" t="str">
        <f>""</f>
        <v/>
      </c>
      <c r="AB1810" t="s">
        <v>1466</v>
      </c>
    </row>
    <row r="1811" spans="1:28" x14ac:dyDescent="0.25">
      <c r="A1811">
        <v>79302</v>
      </c>
      <c r="B1811" t="str">
        <f>"072107000"</f>
        <v>072107000</v>
      </c>
      <c r="C1811" t="s">
        <v>6371</v>
      </c>
      <c r="D1811">
        <v>0</v>
      </c>
      <c r="E1811" t="str">
        <f>""</f>
        <v/>
      </c>
      <c r="G1811" t="s">
        <v>29</v>
      </c>
      <c r="H1811" t="s">
        <v>1888</v>
      </c>
      <c r="I1811" t="s">
        <v>6372</v>
      </c>
      <c r="J1811" t="s">
        <v>6373</v>
      </c>
      <c r="K1811" t="str">
        <f>"4809872045"</f>
        <v>4809872045</v>
      </c>
      <c r="L1811" t="str">
        <f>""</f>
        <v/>
      </c>
      <c r="M1811" t="str">
        <f>"4809879701"</f>
        <v>4809879701</v>
      </c>
      <c r="N1811" t="str">
        <f>""</f>
        <v/>
      </c>
      <c r="O1811" t="s">
        <v>6374</v>
      </c>
      <c r="P1811" t="s">
        <v>6371</v>
      </c>
      <c r="Q1811" t="s">
        <v>6375</v>
      </c>
      <c r="R1811" t="s">
        <v>6376</v>
      </c>
      <c r="S1811" t="s">
        <v>36</v>
      </c>
      <c r="T1811" t="str">
        <f>"85242"</f>
        <v>85242</v>
      </c>
      <c r="U1811" t="str">
        <f>"9715"</f>
        <v>9715</v>
      </c>
      <c r="V1811" t="s">
        <v>6371</v>
      </c>
      <c r="W1811" t="s">
        <v>6375</v>
      </c>
      <c r="X1811" t="s">
        <v>6376</v>
      </c>
      <c r="Y1811" t="s">
        <v>36</v>
      </c>
      <c r="Z1811" t="str">
        <f>"85242"</f>
        <v>85242</v>
      </c>
      <c r="AA1811" t="str">
        <f>"9715"</f>
        <v>9715</v>
      </c>
      <c r="AB1811" t="s">
        <v>821</v>
      </c>
    </row>
    <row r="1812" spans="1:28" x14ac:dyDescent="0.25">
      <c r="A1812">
        <v>79302</v>
      </c>
      <c r="B1812" t="str">
        <f>"072107000"</f>
        <v>072107000</v>
      </c>
      <c r="C1812" t="s">
        <v>6371</v>
      </c>
      <c r="D1812">
        <v>79303</v>
      </c>
      <c r="E1812" t="str">
        <f>"072107001"</f>
        <v>072107001</v>
      </c>
      <c r="F1812" t="s">
        <v>6371</v>
      </c>
      <c r="G1812" t="s">
        <v>42</v>
      </c>
      <c r="H1812" t="s">
        <v>4700</v>
      </c>
      <c r="I1812" t="s">
        <v>6372</v>
      </c>
      <c r="J1812" t="s">
        <v>5227</v>
      </c>
      <c r="K1812" t="str">
        <f>"4809872045"</f>
        <v>4809872045</v>
      </c>
      <c r="L1812" t="str">
        <f>""</f>
        <v/>
      </c>
      <c r="M1812" t="str">
        <f>"4809879701"</f>
        <v>4809879701</v>
      </c>
      <c r="N1812" t="str">
        <f>""</f>
        <v/>
      </c>
      <c r="O1812" t="s">
        <v>6374</v>
      </c>
      <c r="P1812" t="s">
        <v>6371</v>
      </c>
      <c r="Q1812" t="s">
        <v>6377</v>
      </c>
      <c r="R1812" t="s">
        <v>1772</v>
      </c>
      <c r="S1812" t="s">
        <v>36</v>
      </c>
      <c r="T1812" t="str">
        <f>"85242"</f>
        <v>85242</v>
      </c>
      <c r="U1812" t="str">
        <f>"9715"</f>
        <v>9715</v>
      </c>
      <c r="V1812" t="s">
        <v>6371</v>
      </c>
      <c r="W1812" t="s">
        <v>6377</v>
      </c>
      <c r="X1812" t="s">
        <v>1772</v>
      </c>
      <c r="Y1812" t="s">
        <v>36</v>
      </c>
      <c r="Z1812" t="str">
        <f>"85242"</f>
        <v>85242</v>
      </c>
      <c r="AA1812" t="str">
        <f>"9715"</f>
        <v>9715</v>
      </c>
      <c r="AB1812" t="s">
        <v>821</v>
      </c>
    </row>
    <row r="1813" spans="1:28" x14ac:dyDescent="0.25">
      <c r="A1813">
        <v>79302</v>
      </c>
      <c r="B1813" t="str">
        <f>"072107000"</f>
        <v>072107000</v>
      </c>
      <c r="C1813" t="s">
        <v>6371</v>
      </c>
      <c r="D1813">
        <v>89565</v>
      </c>
      <c r="E1813" t="str">
        <f>"072107002"</f>
        <v>072107002</v>
      </c>
      <c r="F1813" t="s">
        <v>6378</v>
      </c>
      <c r="G1813" t="s">
        <v>42</v>
      </c>
      <c r="H1813" t="s">
        <v>4700</v>
      </c>
      <c r="I1813" t="s">
        <v>6372</v>
      </c>
      <c r="J1813" t="s">
        <v>2165</v>
      </c>
      <c r="K1813" t="str">
        <f>"4809879700"</f>
        <v>4809879700</v>
      </c>
      <c r="L1813" t="str">
        <f>"0"</f>
        <v>0</v>
      </c>
      <c r="M1813" t="str">
        <f>"4809879701"</f>
        <v>4809879701</v>
      </c>
      <c r="N1813" t="str">
        <f>""</f>
        <v/>
      </c>
      <c r="O1813" t="s">
        <v>6379</v>
      </c>
      <c r="P1813" t="s">
        <v>6371</v>
      </c>
      <c r="Q1813" t="s">
        <v>6377</v>
      </c>
      <c r="R1813" t="s">
        <v>1772</v>
      </c>
      <c r="S1813" t="s">
        <v>36</v>
      </c>
      <c r="T1813" t="str">
        <f>"85242"</f>
        <v>85242</v>
      </c>
      <c r="U1813" t="str">
        <f>"9715"</f>
        <v>9715</v>
      </c>
      <c r="V1813" t="s">
        <v>6380</v>
      </c>
      <c r="W1813" t="s">
        <v>6381</v>
      </c>
      <c r="X1813" t="s">
        <v>4935</v>
      </c>
      <c r="Y1813" t="s">
        <v>36</v>
      </c>
      <c r="Z1813" t="str">
        <f>"85623"</f>
        <v>85623</v>
      </c>
      <c r="AA1813" t="str">
        <f>""</f>
        <v/>
      </c>
      <c r="AB1813" t="s">
        <v>821</v>
      </c>
    </row>
    <row r="1814" spans="1:28" x14ac:dyDescent="0.25">
      <c r="A1814">
        <v>79302</v>
      </c>
      <c r="B1814" t="str">
        <f>"072107000"</f>
        <v>072107000</v>
      </c>
      <c r="C1814" t="s">
        <v>6371</v>
      </c>
      <c r="D1814">
        <v>90438</v>
      </c>
      <c r="E1814" t="str">
        <f>"072107003"</f>
        <v>072107003</v>
      </c>
      <c r="F1814" t="s">
        <v>6382</v>
      </c>
      <c r="G1814" t="s">
        <v>42</v>
      </c>
      <c r="H1814" t="s">
        <v>1888</v>
      </c>
      <c r="I1814" t="s">
        <v>6372</v>
      </c>
      <c r="J1814" t="s">
        <v>32</v>
      </c>
      <c r="K1814" t="str">
        <f>"4809872045"</f>
        <v>4809872045</v>
      </c>
      <c r="L1814" t="str">
        <f>""</f>
        <v/>
      </c>
      <c r="M1814" t="str">
        <f>""</f>
        <v/>
      </c>
      <c r="N1814" t="str">
        <f>""</f>
        <v/>
      </c>
      <c r="O1814" t="s">
        <v>6374</v>
      </c>
      <c r="P1814" t="s">
        <v>6383</v>
      </c>
      <c r="R1814" t="s">
        <v>1772</v>
      </c>
      <c r="S1814" t="s">
        <v>36</v>
      </c>
      <c r="T1814" t="str">
        <f>"85142"</f>
        <v>85142</v>
      </c>
      <c r="U1814" t="str">
        <f>"9715"</f>
        <v>9715</v>
      </c>
      <c r="V1814" t="s">
        <v>6383</v>
      </c>
      <c r="X1814" t="s">
        <v>1772</v>
      </c>
      <c r="Y1814" t="s">
        <v>36</v>
      </c>
      <c r="Z1814" t="str">
        <f>"85142"</f>
        <v>85142</v>
      </c>
      <c r="AA1814" t="str">
        <f>"9715"</f>
        <v>9715</v>
      </c>
      <c r="AB1814" t="s">
        <v>821</v>
      </c>
    </row>
    <row r="1815" spans="1:28" x14ac:dyDescent="0.25">
      <c r="A1815">
        <v>79426</v>
      </c>
      <c r="B1815" t="str">
        <f>"108785000"</f>
        <v>108785000</v>
      </c>
      <c r="C1815" t="s">
        <v>6384</v>
      </c>
      <c r="D1815">
        <v>0</v>
      </c>
      <c r="E1815" t="str">
        <f>""</f>
        <v/>
      </c>
      <c r="G1815" t="s">
        <v>29</v>
      </c>
      <c r="H1815" t="s">
        <v>4851</v>
      </c>
      <c r="I1815" t="s">
        <v>6385</v>
      </c>
      <c r="J1815" t="s">
        <v>6345</v>
      </c>
      <c r="K1815" t="str">
        <f>"5203292444"</f>
        <v>5203292444</v>
      </c>
      <c r="L1815" t="str">
        <f>""</f>
        <v/>
      </c>
      <c r="M1815" t="str">
        <f>""</f>
        <v/>
      </c>
      <c r="N1815" t="str">
        <f>""</f>
        <v/>
      </c>
      <c r="O1815" t="s">
        <v>6386</v>
      </c>
      <c r="P1815" t="s">
        <v>6387</v>
      </c>
      <c r="R1815" t="s">
        <v>4169</v>
      </c>
      <c r="S1815" t="s">
        <v>36</v>
      </c>
      <c r="T1815" t="str">
        <f>"85713"</f>
        <v>85713</v>
      </c>
      <c r="U1815" t="str">
        <f>""</f>
        <v/>
      </c>
      <c r="V1815" t="s">
        <v>6387</v>
      </c>
      <c r="X1815" t="s">
        <v>4169</v>
      </c>
      <c r="Y1815" t="s">
        <v>36</v>
      </c>
      <c r="Z1815" t="str">
        <f>"85713"</f>
        <v>85713</v>
      </c>
      <c r="AA1815" t="str">
        <f>""</f>
        <v/>
      </c>
      <c r="AB1815" t="s">
        <v>632</v>
      </c>
    </row>
    <row r="1816" spans="1:28" x14ac:dyDescent="0.25">
      <c r="A1816">
        <v>79426</v>
      </c>
      <c r="B1816" t="str">
        <f>"108785000"</f>
        <v>108785000</v>
      </c>
      <c r="C1816" t="s">
        <v>6384</v>
      </c>
      <c r="D1816">
        <v>79432</v>
      </c>
      <c r="E1816" t="str">
        <f>"108785001"</f>
        <v>108785001</v>
      </c>
      <c r="F1816" t="s">
        <v>6388</v>
      </c>
      <c r="G1816" t="s">
        <v>42</v>
      </c>
      <c r="H1816" t="s">
        <v>4851</v>
      </c>
      <c r="I1816" t="s">
        <v>6385</v>
      </c>
      <c r="J1816" t="s">
        <v>6345</v>
      </c>
      <c r="K1816" t="str">
        <f>"5203292444"</f>
        <v>5203292444</v>
      </c>
      <c r="L1816" t="str">
        <f>""</f>
        <v/>
      </c>
      <c r="M1816" t="str">
        <f>"5206237125"</f>
        <v>5206237125</v>
      </c>
      <c r="N1816" t="str">
        <f>""</f>
        <v/>
      </c>
      <c r="O1816" t="s">
        <v>6386</v>
      </c>
      <c r="P1816" t="s">
        <v>6387</v>
      </c>
      <c r="R1816" t="s">
        <v>4169</v>
      </c>
      <c r="S1816" t="s">
        <v>36</v>
      </c>
      <c r="T1816" t="str">
        <f>"85713"</f>
        <v>85713</v>
      </c>
      <c r="U1816" t="str">
        <f>""</f>
        <v/>
      </c>
      <c r="V1816" t="s">
        <v>6387</v>
      </c>
      <c r="X1816" t="s">
        <v>4169</v>
      </c>
      <c r="Y1816" t="s">
        <v>36</v>
      </c>
      <c r="Z1816" t="str">
        <f>"85713"</f>
        <v>85713</v>
      </c>
      <c r="AA1816" t="str">
        <f>""</f>
        <v/>
      </c>
      <c r="AB1816" t="s">
        <v>632</v>
      </c>
    </row>
    <row r="1817" spans="1:28" x14ac:dyDescent="0.25">
      <c r="A1817">
        <v>79437</v>
      </c>
      <c r="B1817" t="str">
        <f>"138760000"</f>
        <v>138760000</v>
      </c>
      <c r="C1817" t="s">
        <v>6389</v>
      </c>
      <c r="D1817">
        <v>0</v>
      </c>
      <c r="E1817" t="str">
        <f>""</f>
        <v/>
      </c>
      <c r="G1817" t="s">
        <v>29</v>
      </c>
      <c r="H1817" t="s">
        <v>6390</v>
      </c>
      <c r="I1817" t="s">
        <v>925</v>
      </c>
      <c r="J1817" t="s">
        <v>32</v>
      </c>
      <c r="K1817" t="str">
        <f>"9287725778"</f>
        <v>9287725778</v>
      </c>
      <c r="L1817" t="str">
        <f>""</f>
        <v/>
      </c>
      <c r="M1817" t="str">
        <f>"9287758654"</f>
        <v>9287758654</v>
      </c>
      <c r="N1817" t="str">
        <f>""</f>
        <v/>
      </c>
      <c r="O1817" t="s">
        <v>6391</v>
      </c>
      <c r="P1817" t="s">
        <v>6392</v>
      </c>
      <c r="R1817" t="s">
        <v>5277</v>
      </c>
      <c r="S1817" t="s">
        <v>36</v>
      </c>
      <c r="T1817" t="str">
        <f>"86314"</f>
        <v>86314</v>
      </c>
      <c r="U1817" t="str">
        <f>""</f>
        <v/>
      </c>
      <c r="V1817" t="s">
        <v>6392</v>
      </c>
      <c r="X1817" t="s">
        <v>5277</v>
      </c>
      <c r="Y1817" t="s">
        <v>36</v>
      </c>
      <c r="Z1817" t="str">
        <f>"86314"</f>
        <v>86314</v>
      </c>
      <c r="AA1817" t="str">
        <f>""</f>
        <v/>
      </c>
      <c r="AB1817" t="s">
        <v>4889</v>
      </c>
    </row>
    <row r="1818" spans="1:28" x14ac:dyDescent="0.25">
      <c r="A1818">
        <v>79437</v>
      </c>
      <c r="B1818" t="str">
        <f>"138760000"</f>
        <v>138760000</v>
      </c>
      <c r="C1818" t="s">
        <v>6389</v>
      </c>
      <c r="D1818">
        <v>79438</v>
      </c>
      <c r="E1818" t="str">
        <f>"138760101"</f>
        <v>138760101</v>
      </c>
      <c r="F1818" t="s">
        <v>6389</v>
      </c>
      <c r="G1818" t="s">
        <v>42</v>
      </c>
      <c r="H1818" t="s">
        <v>6390</v>
      </c>
      <c r="I1818" t="s">
        <v>925</v>
      </c>
      <c r="J1818" t="s">
        <v>32</v>
      </c>
      <c r="K1818" t="str">
        <f>"9287725778"</f>
        <v>9287725778</v>
      </c>
      <c r="L1818" t="str">
        <f>""</f>
        <v/>
      </c>
      <c r="M1818" t="str">
        <f>"9287758654"</f>
        <v>9287758654</v>
      </c>
      <c r="N1818" t="str">
        <f>""</f>
        <v/>
      </c>
      <c r="O1818" t="s">
        <v>6391</v>
      </c>
      <c r="P1818" t="s">
        <v>6393</v>
      </c>
      <c r="R1818" t="s">
        <v>5277</v>
      </c>
      <c r="S1818" t="s">
        <v>36</v>
      </c>
      <c r="T1818" t="str">
        <f>"86314"</f>
        <v>86314</v>
      </c>
      <c r="U1818" t="str">
        <f>""</f>
        <v/>
      </c>
      <c r="V1818" t="s">
        <v>6393</v>
      </c>
      <c r="X1818" t="s">
        <v>5277</v>
      </c>
      <c r="Y1818" t="s">
        <v>36</v>
      </c>
      <c r="Z1818" t="str">
        <f>"86314"</f>
        <v>86314</v>
      </c>
      <c r="AA1818" t="str">
        <f>""</f>
        <v/>
      </c>
      <c r="AB1818" t="s">
        <v>4889</v>
      </c>
    </row>
    <row r="1819" spans="1:28" x14ac:dyDescent="0.25">
      <c r="A1819">
        <v>79437</v>
      </c>
      <c r="B1819" t="str">
        <f>"138760000"</f>
        <v>138760000</v>
      </c>
      <c r="C1819" t="s">
        <v>6389</v>
      </c>
      <c r="D1819">
        <v>88180</v>
      </c>
      <c r="E1819" t="str">
        <f>"138760102"</f>
        <v>138760102</v>
      </c>
      <c r="F1819" t="s">
        <v>6394</v>
      </c>
      <c r="G1819" t="s">
        <v>42</v>
      </c>
      <c r="H1819" t="s">
        <v>6395</v>
      </c>
      <c r="I1819" t="s">
        <v>6396</v>
      </c>
      <c r="J1819" t="s">
        <v>6397</v>
      </c>
      <c r="K1819" t="str">
        <f>"9287750238"</f>
        <v>9287750238</v>
      </c>
      <c r="L1819" t="str">
        <f>""</f>
        <v/>
      </c>
      <c r="M1819" t="str">
        <f>"9287752638"</f>
        <v>9287752638</v>
      </c>
      <c r="N1819" t="str">
        <f>""</f>
        <v/>
      </c>
      <c r="O1819" t="s">
        <v>6398</v>
      </c>
      <c r="P1819" t="s">
        <v>6399</v>
      </c>
      <c r="R1819" t="s">
        <v>5277</v>
      </c>
      <c r="S1819" t="s">
        <v>36</v>
      </c>
      <c r="T1819" t="str">
        <f>"86314"</f>
        <v>86314</v>
      </c>
      <c r="U1819" t="str">
        <f>""</f>
        <v/>
      </c>
      <c r="V1819" t="s">
        <v>6399</v>
      </c>
      <c r="X1819" t="s">
        <v>5277</v>
      </c>
      <c r="Y1819" t="s">
        <v>36</v>
      </c>
      <c r="Z1819" t="str">
        <f>"86314"</f>
        <v>86314</v>
      </c>
      <c r="AA1819" t="str">
        <f>""</f>
        <v/>
      </c>
      <c r="AB1819" t="s">
        <v>4889</v>
      </c>
    </row>
    <row r="1820" spans="1:28" x14ac:dyDescent="0.25">
      <c r="A1820">
        <v>79453</v>
      </c>
      <c r="B1820" t="str">
        <f>"078924000"</f>
        <v>078924000</v>
      </c>
      <c r="C1820" t="s">
        <v>6400</v>
      </c>
      <c r="D1820">
        <v>0</v>
      </c>
      <c r="E1820" t="str">
        <f>""</f>
        <v/>
      </c>
      <c r="G1820" t="s">
        <v>29</v>
      </c>
      <c r="H1820" t="s">
        <v>840</v>
      </c>
      <c r="I1820" t="s">
        <v>3569</v>
      </c>
      <c r="J1820" t="s">
        <v>6401</v>
      </c>
      <c r="K1820" t="str">
        <f>"6239744959"</f>
        <v>6239744959</v>
      </c>
      <c r="L1820" t="str">
        <f>"304"</f>
        <v>304</v>
      </c>
      <c r="M1820" t="str">
        <f>"6239744840"</f>
        <v>6239744840</v>
      </c>
      <c r="N1820" t="str">
        <f>""</f>
        <v/>
      </c>
      <c r="O1820" t="s">
        <v>6402</v>
      </c>
      <c r="P1820" t="s">
        <v>6403</v>
      </c>
      <c r="R1820" t="s">
        <v>1806</v>
      </c>
      <c r="S1820" t="s">
        <v>36</v>
      </c>
      <c r="T1820" t="str">
        <f>"85378"</f>
        <v>85378</v>
      </c>
      <c r="U1820" t="str">
        <f>""</f>
        <v/>
      </c>
      <c r="V1820" t="s">
        <v>6404</v>
      </c>
      <c r="X1820" t="s">
        <v>1806</v>
      </c>
      <c r="Y1820" t="s">
        <v>36</v>
      </c>
      <c r="Z1820" t="str">
        <f>"85374"</f>
        <v>85374</v>
      </c>
      <c r="AA1820" t="str">
        <f>""</f>
        <v/>
      </c>
      <c r="AB1820" t="s">
        <v>282</v>
      </c>
    </row>
    <row r="1821" spans="1:28" x14ac:dyDescent="0.25">
      <c r="A1821">
        <v>79453</v>
      </c>
      <c r="B1821" t="str">
        <f>"078924000"</f>
        <v>078924000</v>
      </c>
      <c r="C1821" t="s">
        <v>6400</v>
      </c>
      <c r="D1821">
        <v>79454</v>
      </c>
      <c r="E1821" t="str">
        <f>"078924001"</f>
        <v>078924001</v>
      </c>
      <c r="F1821" t="s">
        <v>6405</v>
      </c>
      <c r="G1821" t="s">
        <v>42</v>
      </c>
      <c r="H1821" t="s">
        <v>840</v>
      </c>
      <c r="I1821" t="s">
        <v>3569</v>
      </c>
      <c r="J1821" t="s">
        <v>6401</v>
      </c>
      <c r="K1821" t="str">
        <f>"6239744959"</f>
        <v>6239744959</v>
      </c>
      <c r="L1821" t="str">
        <f>"304"</f>
        <v>304</v>
      </c>
      <c r="M1821" t="str">
        <f>"6239744840"</f>
        <v>6239744840</v>
      </c>
      <c r="N1821" t="str">
        <f>""</f>
        <v/>
      </c>
      <c r="O1821" t="s">
        <v>6402</v>
      </c>
      <c r="P1821" t="s">
        <v>6403</v>
      </c>
      <c r="R1821" t="s">
        <v>1806</v>
      </c>
      <c r="S1821" t="s">
        <v>36</v>
      </c>
      <c r="T1821" t="str">
        <f>"85378"</f>
        <v>85378</v>
      </c>
      <c r="U1821" t="str">
        <f>""</f>
        <v/>
      </c>
      <c r="V1821" t="s">
        <v>6404</v>
      </c>
      <c r="X1821" t="s">
        <v>1806</v>
      </c>
      <c r="Y1821" t="s">
        <v>36</v>
      </c>
      <c r="Z1821" t="str">
        <f>"85374"</f>
        <v>85374</v>
      </c>
      <c r="AA1821" t="str">
        <f>""</f>
        <v/>
      </c>
      <c r="AB1821" t="s">
        <v>282</v>
      </c>
    </row>
    <row r="1822" spans="1:28" x14ac:dyDescent="0.25">
      <c r="A1822">
        <v>79464</v>
      </c>
      <c r="B1822" t="str">
        <f>"211013000"</f>
        <v>211013000</v>
      </c>
      <c r="C1822" t="s">
        <v>6406</v>
      </c>
      <c r="D1822">
        <v>0</v>
      </c>
      <c r="E1822" t="str">
        <f>""</f>
        <v/>
      </c>
      <c r="G1822" t="s">
        <v>29</v>
      </c>
      <c r="H1822" t="s">
        <v>6407</v>
      </c>
      <c r="I1822" t="s">
        <v>1647</v>
      </c>
      <c r="J1822" t="s">
        <v>6408</v>
      </c>
      <c r="K1822" t="str">
        <f>"9282265529"</f>
        <v>9282265529</v>
      </c>
      <c r="L1822" t="str">
        <f>""</f>
        <v/>
      </c>
      <c r="M1822" t="str">
        <f>"9282265454"</f>
        <v>9282265454</v>
      </c>
      <c r="N1822" t="str">
        <f>""</f>
        <v/>
      </c>
      <c r="O1822" t="s">
        <v>6409</v>
      </c>
      <c r="P1822" t="s">
        <v>6410</v>
      </c>
      <c r="R1822" t="s">
        <v>547</v>
      </c>
      <c r="S1822" t="s">
        <v>36</v>
      </c>
      <c r="T1822" t="str">
        <f>"86001"</f>
        <v>86001</v>
      </c>
      <c r="U1822" t="str">
        <f>""</f>
        <v/>
      </c>
      <c r="V1822" t="s">
        <v>6410</v>
      </c>
      <c r="X1822" t="s">
        <v>547</v>
      </c>
      <c r="Y1822" t="s">
        <v>36</v>
      </c>
      <c r="Z1822" t="str">
        <f>"86001"</f>
        <v>86001</v>
      </c>
      <c r="AA1822" t="str">
        <f>""</f>
        <v/>
      </c>
      <c r="AB1822" t="s">
        <v>86</v>
      </c>
    </row>
    <row r="1823" spans="1:28" x14ac:dyDescent="0.25">
      <c r="A1823">
        <v>79464</v>
      </c>
      <c r="B1823" t="str">
        <f>"211013000"</f>
        <v>211013000</v>
      </c>
      <c r="C1823" t="s">
        <v>6406</v>
      </c>
      <c r="D1823">
        <v>79526</v>
      </c>
      <c r="E1823" t="str">
        <f>"211013001"</f>
        <v>211013001</v>
      </c>
      <c r="F1823" t="s">
        <v>6411</v>
      </c>
      <c r="G1823" t="s">
        <v>42</v>
      </c>
      <c r="H1823" t="s">
        <v>6412</v>
      </c>
      <c r="I1823" t="s">
        <v>6413</v>
      </c>
      <c r="J1823" t="s">
        <v>134</v>
      </c>
      <c r="K1823" t="str">
        <f>"9282265409"</f>
        <v>9282265409</v>
      </c>
      <c r="L1823" t="str">
        <f>""</f>
        <v/>
      </c>
      <c r="M1823" t="str">
        <f>"9282265454"</f>
        <v>9282265454</v>
      </c>
      <c r="N1823" t="str">
        <f>""</f>
        <v/>
      </c>
      <c r="O1823" t="s">
        <v>6414</v>
      </c>
      <c r="P1823" t="s">
        <v>6410</v>
      </c>
      <c r="R1823" t="s">
        <v>547</v>
      </c>
      <c r="S1823" t="s">
        <v>36</v>
      </c>
      <c r="T1823" t="str">
        <f>"86001"</f>
        <v>86001</v>
      </c>
      <c r="U1823" t="str">
        <f>""</f>
        <v/>
      </c>
      <c r="V1823" t="s">
        <v>6410</v>
      </c>
      <c r="X1823" t="s">
        <v>547</v>
      </c>
      <c r="Y1823" t="s">
        <v>36</v>
      </c>
      <c r="Z1823" t="str">
        <f>"86001"</f>
        <v>86001</v>
      </c>
      <c r="AA1823" t="str">
        <f>""</f>
        <v/>
      </c>
      <c r="AB1823" t="s">
        <v>86</v>
      </c>
    </row>
    <row r="1824" spans="1:28" x14ac:dyDescent="0.25">
      <c r="A1824">
        <v>79497</v>
      </c>
      <c r="B1824" t="str">
        <f>"078935000"</f>
        <v>078935000</v>
      </c>
      <c r="C1824" t="s">
        <v>6415</v>
      </c>
      <c r="D1824">
        <v>0</v>
      </c>
      <c r="E1824" t="str">
        <f>""</f>
        <v/>
      </c>
      <c r="G1824" t="s">
        <v>29</v>
      </c>
      <c r="H1824" t="s">
        <v>6416</v>
      </c>
      <c r="I1824" t="s">
        <v>6417</v>
      </c>
      <c r="J1824" t="s">
        <v>6181</v>
      </c>
      <c r="K1824" t="str">
        <f>"4805007059"</f>
        <v>4805007059</v>
      </c>
      <c r="L1824" t="str">
        <f>""</f>
        <v/>
      </c>
      <c r="M1824" t="str">
        <f>""</f>
        <v/>
      </c>
      <c r="N1824" t="str">
        <f>""</f>
        <v/>
      </c>
      <c r="O1824" t="s">
        <v>6182</v>
      </c>
      <c r="P1824" t="s">
        <v>6183</v>
      </c>
      <c r="R1824" t="s">
        <v>964</v>
      </c>
      <c r="S1824" t="s">
        <v>36</v>
      </c>
      <c r="T1824" t="str">
        <f>"85035"</f>
        <v>85035</v>
      </c>
      <c r="U1824" t="str">
        <f>""</f>
        <v/>
      </c>
      <c r="V1824" t="s">
        <v>6418</v>
      </c>
      <c r="X1824" t="s">
        <v>1275</v>
      </c>
      <c r="Y1824" t="s">
        <v>36</v>
      </c>
      <c r="Z1824" t="str">
        <f>"85295"</f>
        <v>85295</v>
      </c>
      <c r="AA1824" t="str">
        <f>""</f>
        <v/>
      </c>
      <c r="AB1824" t="s">
        <v>1166</v>
      </c>
    </row>
    <row r="1825" spans="1:28" x14ac:dyDescent="0.25">
      <c r="A1825">
        <v>79497</v>
      </c>
      <c r="B1825" t="str">
        <f>"078935000"</f>
        <v>078935000</v>
      </c>
      <c r="C1825" t="s">
        <v>6415</v>
      </c>
      <c r="D1825">
        <v>79508</v>
      </c>
      <c r="E1825" t="str">
        <f>"078935102"</f>
        <v>078935102</v>
      </c>
      <c r="F1825" t="s">
        <v>6419</v>
      </c>
      <c r="G1825" t="s">
        <v>42</v>
      </c>
      <c r="H1825" t="s">
        <v>1332</v>
      </c>
      <c r="I1825" t="s">
        <v>6420</v>
      </c>
      <c r="J1825" t="s">
        <v>301</v>
      </c>
      <c r="K1825" t="str">
        <f>"4808552702"</f>
        <v>4808552702</v>
      </c>
      <c r="L1825" t="str">
        <f>""</f>
        <v/>
      </c>
      <c r="M1825" t="str">
        <f>"4808552701"</f>
        <v>4808552701</v>
      </c>
      <c r="N1825" t="str">
        <f>""</f>
        <v/>
      </c>
      <c r="O1825" t="s">
        <v>6421</v>
      </c>
      <c r="P1825" t="s">
        <v>6183</v>
      </c>
      <c r="R1825" t="s">
        <v>964</v>
      </c>
      <c r="S1825" t="s">
        <v>36</v>
      </c>
      <c r="T1825" t="str">
        <f>"85035"</f>
        <v>85035</v>
      </c>
      <c r="U1825" t="str">
        <f>""</f>
        <v/>
      </c>
      <c r="V1825" t="s">
        <v>6422</v>
      </c>
      <c r="X1825" t="s">
        <v>1275</v>
      </c>
      <c r="Y1825" t="s">
        <v>36</v>
      </c>
      <c r="Z1825" t="str">
        <f>"85295"</f>
        <v>85295</v>
      </c>
      <c r="AA1825" t="str">
        <f>""</f>
        <v/>
      </c>
      <c r="AB1825" t="s">
        <v>1166</v>
      </c>
    </row>
    <row r="1826" spans="1:28" x14ac:dyDescent="0.25">
      <c r="A1826">
        <v>79498</v>
      </c>
      <c r="B1826" t="str">
        <f>"088758000"</f>
        <v>088758000</v>
      </c>
      <c r="C1826" t="s">
        <v>6423</v>
      </c>
      <c r="D1826">
        <v>0</v>
      </c>
      <c r="E1826" t="str">
        <f>""</f>
        <v/>
      </c>
      <c r="G1826" t="s">
        <v>29</v>
      </c>
      <c r="H1826" t="s">
        <v>2570</v>
      </c>
      <c r="I1826" t="s">
        <v>6424</v>
      </c>
      <c r="J1826" t="s">
        <v>32</v>
      </c>
      <c r="K1826" t="str">
        <f>"9287049345"</f>
        <v>9287049345</v>
      </c>
      <c r="L1826" t="str">
        <f>"150"</f>
        <v>150</v>
      </c>
      <c r="M1826" t="str">
        <f>""</f>
        <v/>
      </c>
      <c r="N1826" t="str">
        <f>""</f>
        <v/>
      </c>
      <c r="O1826" t="s">
        <v>6425</v>
      </c>
      <c r="P1826" t="s">
        <v>6426</v>
      </c>
      <c r="R1826" t="s">
        <v>3895</v>
      </c>
      <c r="S1826" t="s">
        <v>36</v>
      </c>
      <c r="T1826" t="str">
        <f>"86442"</f>
        <v>86442</v>
      </c>
      <c r="U1826" t="str">
        <f>""</f>
        <v/>
      </c>
      <c r="V1826" t="s">
        <v>6426</v>
      </c>
      <c r="X1826" t="s">
        <v>3895</v>
      </c>
      <c r="Y1826" t="s">
        <v>36</v>
      </c>
      <c r="Z1826" t="str">
        <f>"86442"</f>
        <v>86442</v>
      </c>
      <c r="AA1826" t="str">
        <f>""</f>
        <v/>
      </c>
      <c r="AB1826" t="s">
        <v>2345</v>
      </c>
    </row>
    <row r="1827" spans="1:28" x14ac:dyDescent="0.25">
      <c r="A1827">
        <v>79498</v>
      </c>
      <c r="B1827" t="str">
        <f>"088758000"</f>
        <v>088758000</v>
      </c>
      <c r="C1827" t="s">
        <v>6423</v>
      </c>
      <c r="D1827">
        <v>79510</v>
      </c>
      <c r="E1827" t="str">
        <f>"088758001"</f>
        <v>088758001</v>
      </c>
      <c r="F1827" t="s">
        <v>6423</v>
      </c>
      <c r="G1827" t="s">
        <v>42</v>
      </c>
      <c r="H1827" t="s">
        <v>2570</v>
      </c>
      <c r="I1827" t="s">
        <v>6424</v>
      </c>
      <c r="J1827" t="s">
        <v>32</v>
      </c>
      <c r="K1827" t="str">
        <f>"9287049345"</f>
        <v>9287049345</v>
      </c>
      <c r="L1827" t="str">
        <f>"125"</f>
        <v>125</v>
      </c>
      <c r="M1827" t="str">
        <f>"9287044977"</f>
        <v>9287044977</v>
      </c>
      <c r="N1827" t="str">
        <f>""</f>
        <v/>
      </c>
      <c r="O1827" t="s">
        <v>6425</v>
      </c>
      <c r="P1827" t="s">
        <v>6426</v>
      </c>
      <c r="R1827" t="s">
        <v>3895</v>
      </c>
      <c r="S1827" t="s">
        <v>36</v>
      </c>
      <c r="T1827" t="str">
        <f>"86442"</f>
        <v>86442</v>
      </c>
      <c r="U1827" t="str">
        <f>""</f>
        <v/>
      </c>
      <c r="V1827" t="s">
        <v>6426</v>
      </c>
      <c r="X1827" t="s">
        <v>3895</v>
      </c>
      <c r="Y1827" t="s">
        <v>36</v>
      </c>
      <c r="Z1827" t="str">
        <f>"86442"</f>
        <v>86442</v>
      </c>
      <c r="AA1827" t="str">
        <f>""</f>
        <v/>
      </c>
      <c r="AB1827" t="s">
        <v>2345</v>
      </c>
    </row>
    <row r="1828" spans="1:28" x14ac:dyDescent="0.25">
      <c r="A1828">
        <v>79498</v>
      </c>
      <c r="B1828" t="str">
        <f>"088758000"</f>
        <v>088758000</v>
      </c>
      <c r="C1828" t="s">
        <v>6423</v>
      </c>
      <c r="D1828">
        <v>85517</v>
      </c>
      <c r="E1828" t="str">
        <f>"088703101"</f>
        <v>088703101</v>
      </c>
      <c r="F1828" t="s">
        <v>6427</v>
      </c>
      <c r="G1828" t="s">
        <v>42</v>
      </c>
      <c r="H1828" t="s">
        <v>2570</v>
      </c>
      <c r="I1828" t="s">
        <v>6424</v>
      </c>
      <c r="J1828" t="s">
        <v>32</v>
      </c>
      <c r="K1828" t="str">
        <f>"9287049345"</f>
        <v>9287049345</v>
      </c>
      <c r="L1828" t="str">
        <f>"125"</f>
        <v>125</v>
      </c>
      <c r="M1828" t="str">
        <f>"9287044977"</f>
        <v>9287044977</v>
      </c>
      <c r="N1828" t="str">
        <f>""</f>
        <v/>
      </c>
      <c r="O1828" t="s">
        <v>6425</v>
      </c>
      <c r="P1828" t="s">
        <v>6426</v>
      </c>
      <c r="R1828" t="s">
        <v>3895</v>
      </c>
      <c r="S1828" t="s">
        <v>36</v>
      </c>
      <c r="T1828" t="str">
        <f>"86442"</f>
        <v>86442</v>
      </c>
      <c r="U1828" t="str">
        <f>""</f>
        <v/>
      </c>
      <c r="V1828" t="s">
        <v>6426</v>
      </c>
      <c r="X1828" t="s">
        <v>3895</v>
      </c>
      <c r="Y1828" t="s">
        <v>36</v>
      </c>
      <c r="Z1828" t="str">
        <f>"86442"</f>
        <v>86442</v>
      </c>
      <c r="AA1828" t="str">
        <f>""</f>
        <v/>
      </c>
      <c r="AB1828" t="s">
        <v>2345</v>
      </c>
    </row>
    <row r="1829" spans="1:28" x14ac:dyDescent="0.25">
      <c r="A1829">
        <v>79498</v>
      </c>
      <c r="B1829" t="str">
        <f>"088758000"</f>
        <v>088758000</v>
      </c>
      <c r="C1829" t="s">
        <v>6423</v>
      </c>
      <c r="D1829">
        <v>90194</v>
      </c>
      <c r="E1829" t="str">
        <f>"088703102"</f>
        <v>088703102</v>
      </c>
      <c r="F1829" t="s">
        <v>6428</v>
      </c>
      <c r="G1829" t="s">
        <v>42</v>
      </c>
      <c r="H1829" t="s">
        <v>6424</v>
      </c>
      <c r="I1829" t="s">
        <v>2570</v>
      </c>
      <c r="J1829" t="s">
        <v>32</v>
      </c>
      <c r="K1829" t="str">
        <f>"9287049345"</f>
        <v>9287049345</v>
      </c>
      <c r="L1829" t="str">
        <f>"125"</f>
        <v>125</v>
      </c>
      <c r="M1829" t="str">
        <f>"9287044977"</f>
        <v>9287044977</v>
      </c>
      <c r="N1829" t="str">
        <f>""</f>
        <v/>
      </c>
      <c r="O1829" t="s">
        <v>6425</v>
      </c>
      <c r="P1829" t="s">
        <v>6429</v>
      </c>
      <c r="R1829" t="s">
        <v>3895</v>
      </c>
      <c r="S1829" t="s">
        <v>36</v>
      </c>
      <c r="T1829" t="str">
        <f>"86442"</f>
        <v>86442</v>
      </c>
      <c r="U1829" t="str">
        <f>""</f>
        <v/>
      </c>
      <c r="V1829" t="s">
        <v>6429</v>
      </c>
      <c r="X1829" t="s">
        <v>3895</v>
      </c>
      <c r="Y1829" t="s">
        <v>36</v>
      </c>
      <c r="Z1829" t="str">
        <f>"86442"</f>
        <v>86442</v>
      </c>
      <c r="AA1829" t="str">
        <f>""</f>
        <v/>
      </c>
      <c r="AB1829" t="s">
        <v>2345</v>
      </c>
    </row>
    <row r="1830" spans="1:28" x14ac:dyDescent="0.25">
      <c r="A1830">
        <v>79500</v>
      </c>
      <c r="B1830" t="str">
        <f>"108789000"</f>
        <v>108789000</v>
      </c>
      <c r="C1830" t="s">
        <v>6430</v>
      </c>
      <c r="D1830">
        <v>0</v>
      </c>
      <c r="E1830" t="str">
        <f>""</f>
        <v/>
      </c>
      <c r="G1830" t="s">
        <v>29</v>
      </c>
      <c r="H1830" t="s">
        <v>1409</v>
      </c>
      <c r="I1830" t="s">
        <v>6431</v>
      </c>
      <c r="J1830" t="s">
        <v>32</v>
      </c>
      <c r="K1830" t="str">
        <f>"5207908400"</f>
        <v>5207908400</v>
      </c>
      <c r="L1830" t="str">
        <f>"1053"</f>
        <v>1053</v>
      </c>
      <c r="M1830" t="str">
        <f>"5206206570"</f>
        <v>5206206570</v>
      </c>
      <c r="N1830" t="str">
        <f>""</f>
        <v/>
      </c>
      <c r="O1830" t="s">
        <v>6432</v>
      </c>
      <c r="P1830" t="s">
        <v>6433</v>
      </c>
      <c r="R1830" t="s">
        <v>4169</v>
      </c>
      <c r="S1830" t="s">
        <v>36</v>
      </c>
      <c r="T1830" t="str">
        <f>"85711"</f>
        <v>85711</v>
      </c>
      <c r="U1830" t="str">
        <f>""</f>
        <v/>
      </c>
      <c r="V1830" t="s">
        <v>6433</v>
      </c>
      <c r="X1830" t="s">
        <v>4169</v>
      </c>
      <c r="Y1830" t="s">
        <v>36</v>
      </c>
      <c r="Z1830" t="str">
        <f>"85711"</f>
        <v>85711</v>
      </c>
      <c r="AA1830" t="str">
        <f>""</f>
        <v/>
      </c>
      <c r="AB1830" t="s">
        <v>516</v>
      </c>
    </row>
    <row r="1831" spans="1:28" x14ac:dyDescent="0.25">
      <c r="A1831">
        <v>79500</v>
      </c>
      <c r="B1831" t="str">
        <f>"108789000"</f>
        <v>108789000</v>
      </c>
      <c r="C1831" t="s">
        <v>6430</v>
      </c>
      <c r="D1831">
        <v>79512</v>
      </c>
      <c r="E1831" t="str">
        <f>"108789101"</f>
        <v>108789101</v>
      </c>
      <c r="F1831" t="s">
        <v>6434</v>
      </c>
      <c r="G1831" t="s">
        <v>42</v>
      </c>
      <c r="H1831" t="s">
        <v>1409</v>
      </c>
      <c r="I1831" t="s">
        <v>6431</v>
      </c>
      <c r="J1831" t="s">
        <v>32</v>
      </c>
      <c r="K1831" t="str">
        <f>"5207908400"</f>
        <v>5207908400</v>
      </c>
      <c r="L1831" t="str">
        <f>"1053"</f>
        <v>1053</v>
      </c>
      <c r="M1831" t="str">
        <f>"5206206570"</f>
        <v>5206206570</v>
      </c>
      <c r="N1831" t="str">
        <f>""</f>
        <v/>
      </c>
      <c r="O1831" t="s">
        <v>6435</v>
      </c>
      <c r="P1831" t="s">
        <v>6433</v>
      </c>
      <c r="R1831" t="s">
        <v>4169</v>
      </c>
      <c r="S1831" t="s">
        <v>36</v>
      </c>
      <c r="T1831" t="str">
        <f>"85711"</f>
        <v>85711</v>
      </c>
      <c r="U1831" t="str">
        <f>""</f>
        <v/>
      </c>
      <c r="V1831" t="s">
        <v>6433</v>
      </c>
      <c r="X1831" t="s">
        <v>4169</v>
      </c>
      <c r="Y1831" t="s">
        <v>36</v>
      </c>
      <c r="Z1831" t="str">
        <f>"85711"</f>
        <v>85711</v>
      </c>
      <c r="AA1831" t="str">
        <f>""</f>
        <v/>
      </c>
      <c r="AB1831" t="s">
        <v>516</v>
      </c>
    </row>
    <row r="1832" spans="1:28" x14ac:dyDescent="0.25">
      <c r="A1832">
        <v>79500</v>
      </c>
      <c r="B1832" t="str">
        <f>"108789000"</f>
        <v>108789000</v>
      </c>
      <c r="C1832" t="s">
        <v>6430</v>
      </c>
      <c r="D1832">
        <v>90470</v>
      </c>
      <c r="E1832" t="str">
        <f>"108789102"</f>
        <v>108789102</v>
      </c>
      <c r="F1832" t="s">
        <v>6436</v>
      </c>
      <c r="G1832" t="s">
        <v>42</v>
      </c>
      <c r="H1832" t="s">
        <v>1409</v>
      </c>
      <c r="I1832" t="s">
        <v>6431</v>
      </c>
      <c r="J1832" t="s">
        <v>32</v>
      </c>
      <c r="K1832" t="str">
        <f>"5207908400"</f>
        <v>5207908400</v>
      </c>
      <c r="L1832" t="str">
        <f>"1053"</f>
        <v>1053</v>
      </c>
      <c r="M1832" t="str">
        <f>"5206206570"</f>
        <v>5206206570</v>
      </c>
      <c r="N1832" t="str">
        <f>""</f>
        <v/>
      </c>
      <c r="O1832" t="s">
        <v>6435</v>
      </c>
      <c r="P1832" t="s">
        <v>6437</v>
      </c>
      <c r="R1832" t="s">
        <v>4169</v>
      </c>
      <c r="S1832" t="s">
        <v>36</v>
      </c>
      <c r="T1832" t="str">
        <f>"85711"</f>
        <v>85711</v>
      </c>
      <c r="U1832" t="str">
        <f>""</f>
        <v/>
      </c>
      <c r="V1832" t="s">
        <v>6437</v>
      </c>
      <c r="X1832" t="s">
        <v>4169</v>
      </c>
      <c r="Y1832" t="s">
        <v>36</v>
      </c>
      <c r="Z1832" t="str">
        <f>"85711"</f>
        <v>85711</v>
      </c>
      <c r="AA1832" t="str">
        <f>""</f>
        <v/>
      </c>
      <c r="AB1832" t="s">
        <v>516</v>
      </c>
    </row>
    <row r="1833" spans="1:28" x14ac:dyDescent="0.25">
      <c r="A1833">
        <v>79501</v>
      </c>
      <c r="B1833" t="str">
        <f>"148760000"</f>
        <v>148760000</v>
      </c>
      <c r="C1833" t="s">
        <v>6438</v>
      </c>
      <c r="D1833">
        <v>0</v>
      </c>
      <c r="E1833" t="str">
        <f>""</f>
        <v/>
      </c>
      <c r="G1833" t="s">
        <v>29</v>
      </c>
      <c r="H1833" t="s">
        <v>1681</v>
      </c>
      <c r="I1833" t="s">
        <v>6439</v>
      </c>
      <c r="J1833" t="s">
        <v>5104</v>
      </c>
      <c r="K1833" t="str">
        <f>"9287822052"</f>
        <v>9287822052</v>
      </c>
      <c r="L1833" t="str">
        <f>""</f>
        <v/>
      </c>
      <c r="M1833" t="str">
        <f>""</f>
        <v/>
      </c>
      <c r="N1833" t="str">
        <f>""</f>
        <v/>
      </c>
      <c r="O1833" t="s">
        <v>6440</v>
      </c>
      <c r="P1833" t="s">
        <v>6441</v>
      </c>
      <c r="R1833" t="s">
        <v>5471</v>
      </c>
      <c r="S1833" t="s">
        <v>36</v>
      </c>
      <c r="T1833" t="str">
        <f>"85364"</f>
        <v>85364</v>
      </c>
      <c r="U1833" t="str">
        <f>""</f>
        <v/>
      </c>
      <c r="V1833" t="s">
        <v>6441</v>
      </c>
      <c r="X1833" t="s">
        <v>5471</v>
      </c>
      <c r="Y1833" t="s">
        <v>36</v>
      </c>
      <c r="Z1833" t="str">
        <f>"85364"</f>
        <v>85364</v>
      </c>
      <c r="AA1833" t="str">
        <f>""</f>
        <v/>
      </c>
      <c r="AB1833" t="s">
        <v>282</v>
      </c>
    </row>
    <row r="1834" spans="1:28" x14ac:dyDescent="0.25">
      <c r="A1834">
        <v>79501</v>
      </c>
      <c r="B1834" t="str">
        <f>"148760000"</f>
        <v>148760000</v>
      </c>
      <c r="C1834" t="s">
        <v>6438</v>
      </c>
      <c r="D1834">
        <v>79513</v>
      </c>
      <c r="E1834" t="str">
        <f>"148760101"</f>
        <v>148760101</v>
      </c>
      <c r="F1834" t="s">
        <v>6442</v>
      </c>
      <c r="G1834" t="s">
        <v>42</v>
      </c>
      <c r="H1834" t="s">
        <v>1681</v>
      </c>
      <c r="I1834" t="s">
        <v>6439</v>
      </c>
      <c r="J1834" t="s">
        <v>6443</v>
      </c>
      <c r="K1834" t="str">
        <f>"9287822052"</f>
        <v>9287822052</v>
      </c>
      <c r="L1834" t="str">
        <f>""</f>
        <v/>
      </c>
      <c r="M1834" t="str">
        <f>"9287822031"</f>
        <v>9287822031</v>
      </c>
      <c r="N1834" t="str">
        <f>""</f>
        <v/>
      </c>
      <c r="O1834" t="s">
        <v>6440</v>
      </c>
      <c r="P1834" t="s">
        <v>6441</v>
      </c>
      <c r="R1834" t="s">
        <v>5471</v>
      </c>
      <c r="S1834" t="s">
        <v>36</v>
      </c>
      <c r="T1834" t="str">
        <f>"85364"</f>
        <v>85364</v>
      </c>
      <c r="U1834" t="str">
        <f>""</f>
        <v/>
      </c>
      <c r="V1834" t="s">
        <v>6441</v>
      </c>
      <c r="X1834" t="s">
        <v>5471</v>
      </c>
      <c r="Y1834" t="s">
        <v>36</v>
      </c>
      <c r="Z1834" t="str">
        <f>"85364"</f>
        <v>85364</v>
      </c>
      <c r="AA1834" t="str">
        <f>""</f>
        <v/>
      </c>
      <c r="AB1834" t="s">
        <v>282</v>
      </c>
    </row>
    <row r="1835" spans="1:28" x14ac:dyDescent="0.25">
      <c r="A1835">
        <v>79501</v>
      </c>
      <c r="B1835" t="str">
        <f>"148760000"</f>
        <v>148760000</v>
      </c>
      <c r="C1835" t="s">
        <v>6438</v>
      </c>
      <c r="D1835">
        <v>90277</v>
      </c>
      <c r="E1835" t="str">
        <f>"148760102"</f>
        <v>148760102</v>
      </c>
      <c r="F1835" t="s">
        <v>6444</v>
      </c>
      <c r="G1835" t="s">
        <v>42</v>
      </c>
      <c r="H1835" t="s">
        <v>1681</v>
      </c>
      <c r="I1835" t="s">
        <v>6439</v>
      </c>
      <c r="J1835" t="s">
        <v>5104</v>
      </c>
      <c r="K1835" t="str">
        <f>"9287822052"</f>
        <v>9287822052</v>
      </c>
      <c r="L1835" t="str">
        <f>""</f>
        <v/>
      </c>
      <c r="M1835" t="str">
        <f>"9287822031"</f>
        <v>9287822031</v>
      </c>
      <c r="N1835" t="str">
        <f>""</f>
        <v/>
      </c>
      <c r="O1835" t="s">
        <v>6440</v>
      </c>
      <c r="P1835" t="s">
        <v>6441</v>
      </c>
      <c r="R1835" t="s">
        <v>5471</v>
      </c>
      <c r="S1835" t="s">
        <v>36</v>
      </c>
      <c r="T1835" t="str">
        <f>"85350"</f>
        <v>85350</v>
      </c>
      <c r="U1835" t="str">
        <f>""</f>
        <v/>
      </c>
      <c r="V1835" t="s">
        <v>6445</v>
      </c>
      <c r="X1835" t="s">
        <v>4744</v>
      </c>
      <c r="Y1835" t="s">
        <v>36</v>
      </c>
      <c r="Z1835" t="str">
        <f>"85349"</f>
        <v>85349</v>
      </c>
      <c r="AA1835" t="str">
        <f>""</f>
        <v/>
      </c>
      <c r="AB1835" t="s">
        <v>282</v>
      </c>
    </row>
    <row r="1836" spans="1:28" x14ac:dyDescent="0.25">
      <c r="A1836">
        <v>79501</v>
      </c>
      <c r="B1836" t="str">
        <f>"148760000"</f>
        <v>148760000</v>
      </c>
      <c r="C1836" t="s">
        <v>6438</v>
      </c>
      <c r="D1836">
        <v>92523</v>
      </c>
      <c r="E1836" t="str">
        <f>"148760103"</f>
        <v>148760103</v>
      </c>
      <c r="F1836" t="s">
        <v>6446</v>
      </c>
      <c r="G1836" t="s">
        <v>42</v>
      </c>
      <c r="H1836" t="s">
        <v>1681</v>
      </c>
      <c r="I1836" t="s">
        <v>6439</v>
      </c>
      <c r="J1836" t="s">
        <v>5104</v>
      </c>
      <c r="K1836" t="str">
        <f>"9287822052"</f>
        <v>9287822052</v>
      </c>
      <c r="L1836" t="str">
        <f>""</f>
        <v/>
      </c>
      <c r="M1836" t="str">
        <f>"9287834543"</f>
        <v>9287834543</v>
      </c>
      <c r="N1836" t="str">
        <f>""</f>
        <v/>
      </c>
      <c r="O1836" t="s">
        <v>6440</v>
      </c>
      <c r="P1836" t="s">
        <v>6447</v>
      </c>
      <c r="R1836" t="s">
        <v>5471</v>
      </c>
      <c r="S1836" t="s">
        <v>36</v>
      </c>
      <c r="T1836" t="str">
        <f>"85364"</f>
        <v>85364</v>
      </c>
      <c r="U1836" t="str">
        <f>""</f>
        <v/>
      </c>
      <c r="V1836" t="s">
        <v>6448</v>
      </c>
      <c r="X1836" t="s">
        <v>2670</v>
      </c>
      <c r="Y1836" t="s">
        <v>36</v>
      </c>
      <c r="Z1836" t="str">
        <f>"85338"</f>
        <v>85338</v>
      </c>
      <c r="AA1836" t="str">
        <f>""</f>
        <v/>
      </c>
      <c r="AB1836" t="s">
        <v>282</v>
      </c>
    </row>
    <row r="1837" spans="1:28" x14ac:dyDescent="0.25">
      <c r="A1837">
        <v>79503</v>
      </c>
      <c r="B1837" t="str">
        <f>"028751000"</f>
        <v>028751000</v>
      </c>
      <c r="C1837" t="s">
        <v>6449</v>
      </c>
      <c r="D1837">
        <v>0</v>
      </c>
      <c r="E1837" t="str">
        <f>""</f>
        <v/>
      </c>
      <c r="G1837" t="s">
        <v>29</v>
      </c>
      <c r="H1837" t="s">
        <v>6332</v>
      </c>
      <c r="I1837" t="s">
        <v>6450</v>
      </c>
      <c r="J1837" t="s">
        <v>493</v>
      </c>
      <c r="K1837" t="str">
        <f>"5208051261"</f>
        <v>5208051261</v>
      </c>
      <c r="L1837" t="str">
        <f>"207"</f>
        <v>207</v>
      </c>
      <c r="M1837" t="str">
        <f>"5208051272"</f>
        <v>5208051272</v>
      </c>
      <c r="N1837" t="str">
        <f>""</f>
        <v/>
      </c>
      <c r="O1837" t="s">
        <v>6451</v>
      </c>
      <c r="P1837" t="s">
        <v>6452</v>
      </c>
      <c r="R1837" t="s">
        <v>336</v>
      </c>
      <c r="S1837" t="s">
        <v>36</v>
      </c>
      <c r="T1837" t="str">
        <f>"85607"</f>
        <v>85607</v>
      </c>
      <c r="U1837" t="str">
        <f>""</f>
        <v/>
      </c>
      <c r="V1837" t="s">
        <v>6452</v>
      </c>
      <c r="X1837" t="s">
        <v>336</v>
      </c>
      <c r="Y1837" t="s">
        <v>36</v>
      </c>
      <c r="Z1837" t="str">
        <f>"85607"</f>
        <v>85607</v>
      </c>
      <c r="AA1837" t="str">
        <f>""</f>
        <v/>
      </c>
      <c r="AB1837" t="s">
        <v>4889</v>
      </c>
    </row>
    <row r="1838" spans="1:28" x14ac:dyDescent="0.25">
      <c r="A1838">
        <v>79503</v>
      </c>
      <c r="B1838" t="str">
        <f>"028751000"</f>
        <v>028751000</v>
      </c>
      <c r="C1838" t="s">
        <v>6449</v>
      </c>
      <c r="D1838">
        <v>79505</v>
      </c>
      <c r="E1838" t="str">
        <f>"028751002"</f>
        <v>028751002</v>
      </c>
      <c r="F1838" t="s">
        <v>6453</v>
      </c>
      <c r="G1838" t="s">
        <v>42</v>
      </c>
      <c r="H1838" t="s">
        <v>6332</v>
      </c>
      <c r="I1838" t="s">
        <v>6450</v>
      </c>
      <c r="J1838" t="s">
        <v>493</v>
      </c>
      <c r="K1838" t="str">
        <f>"5208051261"</f>
        <v>5208051261</v>
      </c>
      <c r="L1838" t="str">
        <f>"207"</f>
        <v>207</v>
      </c>
      <c r="M1838" t="str">
        <f>"5208051272"</f>
        <v>5208051272</v>
      </c>
      <c r="N1838" t="str">
        <f>""</f>
        <v/>
      </c>
      <c r="O1838" t="s">
        <v>6451</v>
      </c>
      <c r="P1838" t="s">
        <v>6452</v>
      </c>
      <c r="R1838" t="s">
        <v>336</v>
      </c>
      <c r="S1838" t="s">
        <v>36</v>
      </c>
      <c r="T1838" t="str">
        <f>"85607"</f>
        <v>85607</v>
      </c>
      <c r="U1838" t="str">
        <f>""</f>
        <v/>
      </c>
      <c r="V1838" t="s">
        <v>6452</v>
      </c>
      <c r="X1838" t="s">
        <v>336</v>
      </c>
      <c r="Y1838" t="s">
        <v>36</v>
      </c>
      <c r="Z1838" t="str">
        <f>"85607"</f>
        <v>85607</v>
      </c>
      <c r="AA1838" t="str">
        <f>""</f>
        <v/>
      </c>
      <c r="AB1838" t="s">
        <v>4889</v>
      </c>
    </row>
    <row r="1839" spans="1:28" x14ac:dyDescent="0.25">
      <c r="A1839">
        <v>79533</v>
      </c>
      <c r="B1839" t="str">
        <f>"211024000"</f>
        <v>211024000</v>
      </c>
      <c r="C1839" t="s">
        <v>6454</v>
      </c>
      <c r="D1839">
        <v>0</v>
      </c>
      <c r="E1839" t="str">
        <f>""</f>
        <v/>
      </c>
      <c r="G1839" t="s">
        <v>29</v>
      </c>
      <c r="H1839" t="s">
        <v>5836</v>
      </c>
      <c r="I1839" t="s">
        <v>6455</v>
      </c>
      <c r="J1839" t="s">
        <v>6456</v>
      </c>
      <c r="K1839" t="str">
        <f>"9287715536"</f>
        <v>9287715536</v>
      </c>
      <c r="L1839" t="str">
        <f>""</f>
        <v/>
      </c>
      <c r="M1839" t="str">
        <f>"9287713445"</f>
        <v>9287713445</v>
      </c>
      <c r="N1839" t="str">
        <f>""</f>
        <v/>
      </c>
      <c r="O1839" t="s">
        <v>6457</v>
      </c>
      <c r="P1839" t="s">
        <v>6458</v>
      </c>
      <c r="R1839" t="s">
        <v>5226</v>
      </c>
      <c r="S1839" t="s">
        <v>36</v>
      </c>
      <c r="T1839" t="str">
        <f>"86301"</f>
        <v>86301</v>
      </c>
      <c r="U1839" t="str">
        <f>"6598"</f>
        <v>6598</v>
      </c>
      <c r="V1839" t="s">
        <v>6458</v>
      </c>
      <c r="X1839" t="s">
        <v>5226</v>
      </c>
      <c r="Y1839" t="s">
        <v>36</v>
      </c>
      <c r="Z1839" t="str">
        <f>"86301"</f>
        <v>86301</v>
      </c>
      <c r="AA1839" t="str">
        <f>"6598"</f>
        <v>6598</v>
      </c>
      <c r="AB1839" t="s">
        <v>40</v>
      </c>
    </row>
    <row r="1840" spans="1:28" x14ac:dyDescent="0.25">
      <c r="A1840">
        <v>79533</v>
      </c>
      <c r="B1840" t="str">
        <f>"211024000"</f>
        <v>211024000</v>
      </c>
      <c r="C1840" t="s">
        <v>6454</v>
      </c>
      <c r="D1840">
        <v>79551</v>
      </c>
      <c r="E1840" t="str">
        <f>"211024001"</f>
        <v>211024001</v>
      </c>
      <c r="F1840" t="s">
        <v>6459</v>
      </c>
      <c r="G1840" t="s">
        <v>42</v>
      </c>
      <c r="H1840" t="s">
        <v>1949</v>
      </c>
      <c r="I1840" t="s">
        <v>6460</v>
      </c>
      <c r="J1840" t="s">
        <v>2162</v>
      </c>
      <c r="K1840" t="str">
        <f>"9284425673"</f>
        <v>9284425673</v>
      </c>
      <c r="L1840" t="str">
        <f>""</f>
        <v/>
      </c>
      <c r="M1840" t="str">
        <f>""</f>
        <v/>
      </c>
      <c r="N1840" t="str">
        <f>""</f>
        <v/>
      </c>
      <c r="O1840" t="s">
        <v>6461</v>
      </c>
      <c r="P1840" t="s">
        <v>6458</v>
      </c>
      <c r="R1840" t="s">
        <v>5226</v>
      </c>
      <c r="S1840" t="s">
        <v>36</v>
      </c>
      <c r="T1840" t="str">
        <f>"86301"</f>
        <v>86301</v>
      </c>
      <c r="U1840" t="str">
        <f>"6598"</f>
        <v>6598</v>
      </c>
      <c r="V1840" t="s">
        <v>6458</v>
      </c>
      <c r="X1840" t="s">
        <v>5226</v>
      </c>
      <c r="Y1840" t="s">
        <v>36</v>
      </c>
      <c r="Z1840" t="str">
        <f>"86301"</f>
        <v>86301</v>
      </c>
      <c r="AA1840" t="str">
        <f>"6598"</f>
        <v>6598</v>
      </c>
      <c r="AB1840" t="s">
        <v>40</v>
      </c>
    </row>
    <row r="1841" spans="1:28" x14ac:dyDescent="0.25">
      <c r="A1841">
        <v>79534</v>
      </c>
      <c r="B1841" t="str">
        <f>"211022000"</f>
        <v>211022000</v>
      </c>
      <c r="C1841" t="s">
        <v>6462</v>
      </c>
      <c r="D1841">
        <v>0</v>
      </c>
      <c r="E1841" t="str">
        <f>""</f>
        <v/>
      </c>
      <c r="G1841" t="s">
        <v>29</v>
      </c>
      <c r="H1841" t="s">
        <v>6463</v>
      </c>
      <c r="I1841" t="s">
        <v>6464</v>
      </c>
      <c r="J1841" t="s">
        <v>6465</v>
      </c>
      <c r="K1841" t="str">
        <f>"5208664010"</f>
        <v>5208664010</v>
      </c>
      <c r="L1841" t="str">
        <f>""</f>
        <v/>
      </c>
      <c r="M1841" t="str">
        <f>"5208664001"</f>
        <v>5208664001</v>
      </c>
      <c r="N1841" t="str">
        <f>""</f>
        <v/>
      </c>
      <c r="O1841" t="s">
        <v>6466</v>
      </c>
      <c r="P1841" t="s">
        <v>6467</v>
      </c>
      <c r="R1841" t="s">
        <v>3771</v>
      </c>
      <c r="S1841" t="s">
        <v>36</v>
      </c>
      <c r="T1841" t="str">
        <f>"85132"</f>
        <v>85132</v>
      </c>
      <c r="U1841" t="str">
        <f>""</f>
        <v/>
      </c>
      <c r="V1841" t="s">
        <v>6467</v>
      </c>
      <c r="X1841" t="s">
        <v>3771</v>
      </c>
      <c r="Y1841" t="s">
        <v>36</v>
      </c>
      <c r="Z1841" t="str">
        <f>"85132"</f>
        <v>85132</v>
      </c>
      <c r="AA1841" t="str">
        <f>""</f>
        <v/>
      </c>
      <c r="AB1841" t="s">
        <v>265</v>
      </c>
    </row>
    <row r="1842" spans="1:28" x14ac:dyDescent="0.25">
      <c r="A1842">
        <v>79534</v>
      </c>
      <c r="B1842" t="str">
        <f>"211022000"</f>
        <v>211022000</v>
      </c>
      <c r="C1842" t="s">
        <v>6462</v>
      </c>
      <c r="D1842">
        <v>90745</v>
      </c>
      <c r="E1842" t="str">
        <f>"111099001"</f>
        <v>111099001</v>
      </c>
      <c r="F1842" t="s">
        <v>6468</v>
      </c>
      <c r="G1842" t="s">
        <v>42</v>
      </c>
      <c r="H1842" t="s">
        <v>6469</v>
      </c>
      <c r="I1842" t="s">
        <v>6470</v>
      </c>
      <c r="J1842" t="s">
        <v>6471</v>
      </c>
      <c r="K1842" t="str">
        <f>"5208664049"</f>
        <v>5208664049</v>
      </c>
      <c r="L1842" t="str">
        <f>""</f>
        <v/>
      </c>
      <c r="M1842" t="str">
        <f>"5208664001"</f>
        <v>5208664001</v>
      </c>
      <c r="N1842" t="str">
        <f>""</f>
        <v/>
      </c>
      <c r="O1842" t="s">
        <v>6472</v>
      </c>
      <c r="P1842" t="s">
        <v>6473</v>
      </c>
      <c r="R1842" t="s">
        <v>3771</v>
      </c>
      <c r="S1842" t="s">
        <v>36</v>
      </c>
      <c r="T1842" t="str">
        <f>"85132"</f>
        <v>85132</v>
      </c>
      <c r="U1842" t="str">
        <f>""</f>
        <v/>
      </c>
      <c r="V1842" t="s">
        <v>6467</v>
      </c>
      <c r="X1842" t="s">
        <v>3771</v>
      </c>
      <c r="Y1842" t="s">
        <v>36</v>
      </c>
      <c r="Z1842" t="str">
        <f>"85132"</f>
        <v>85132</v>
      </c>
      <c r="AA1842" t="str">
        <f>"9998"</f>
        <v>9998</v>
      </c>
      <c r="AB1842" t="s">
        <v>265</v>
      </c>
    </row>
    <row r="1843" spans="1:28" x14ac:dyDescent="0.25">
      <c r="A1843">
        <v>79569</v>
      </c>
      <c r="B1843" t="str">
        <f>"078939000"</f>
        <v>078939000</v>
      </c>
      <c r="C1843" t="s">
        <v>6474</v>
      </c>
      <c r="D1843">
        <v>0</v>
      </c>
      <c r="E1843" t="str">
        <f>""</f>
        <v/>
      </c>
      <c r="G1843" t="s">
        <v>29</v>
      </c>
      <c r="H1843" t="s">
        <v>2969</v>
      </c>
      <c r="I1843" t="s">
        <v>6475</v>
      </c>
      <c r="J1843" t="s">
        <v>301</v>
      </c>
      <c r="K1843" t="str">
        <f>"6232451500"</f>
        <v>6232451500</v>
      </c>
      <c r="L1843" t="str">
        <f>"25"</f>
        <v>25</v>
      </c>
      <c r="M1843" t="str">
        <f>""</f>
        <v/>
      </c>
      <c r="N1843" t="str">
        <f>""</f>
        <v/>
      </c>
      <c r="O1843" t="s">
        <v>6476</v>
      </c>
      <c r="P1843" t="s">
        <v>6477</v>
      </c>
      <c r="R1843" t="s">
        <v>964</v>
      </c>
      <c r="S1843" t="s">
        <v>36</v>
      </c>
      <c r="T1843" t="str">
        <f>"85033"</f>
        <v>85033</v>
      </c>
      <c r="U1843" t="str">
        <f>""</f>
        <v/>
      </c>
      <c r="V1843" t="s">
        <v>6477</v>
      </c>
      <c r="X1843" t="s">
        <v>964</v>
      </c>
      <c r="Y1843" t="s">
        <v>36</v>
      </c>
      <c r="Z1843" t="str">
        <f>"85033"</f>
        <v>85033</v>
      </c>
      <c r="AA1843" t="str">
        <f>""</f>
        <v/>
      </c>
      <c r="AB1843" t="s">
        <v>632</v>
      </c>
    </row>
    <row r="1844" spans="1:28" x14ac:dyDescent="0.25">
      <c r="A1844">
        <v>79569</v>
      </c>
      <c r="B1844" t="str">
        <f>"078939000"</f>
        <v>078939000</v>
      </c>
      <c r="C1844" t="s">
        <v>6474</v>
      </c>
      <c r="D1844">
        <v>79570</v>
      </c>
      <c r="E1844" t="str">
        <f>"078939201"</f>
        <v>078939201</v>
      </c>
      <c r="F1844" t="s">
        <v>6474</v>
      </c>
      <c r="G1844" t="s">
        <v>42</v>
      </c>
      <c r="H1844" t="s">
        <v>2969</v>
      </c>
      <c r="I1844" t="s">
        <v>6475</v>
      </c>
      <c r="J1844" t="s">
        <v>301</v>
      </c>
      <c r="K1844" t="str">
        <f>"6232451500"</f>
        <v>6232451500</v>
      </c>
      <c r="L1844" t="str">
        <f>"25"</f>
        <v>25</v>
      </c>
      <c r="M1844" t="str">
        <f>"6232451506"</f>
        <v>6232451506</v>
      </c>
      <c r="N1844" t="str">
        <f>""</f>
        <v/>
      </c>
      <c r="O1844" t="s">
        <v>6476</v>
      </c>
      <c r="P1844" t="s">
        <v>6478</v>
      </c>
      <c r="R1844" t="s">
        <v>964</v>
      </c>
      <c r="S1844" t="s">
        <v>36</v>
      </c>
      <c r="T1844" t="str">
        <f>"85033"</f>
        <v>85033</v>
      </c>
      <c r="U1844" t="str">
        <f>""</f>
        <v/>
      </c>
      <c r="V1844" t="s">
        <v>6478</v>
      </c>
      <c r="X1844" t="s">
        <v>964</v>
      </c>
      <c r="Y1844" t="s">
        <v>36</v>
      </c>
      <c r="Z1844" t="str">
        <f>"85033"</f>
        <v>85033</v>
      </c>
      <c r="AA1844" t="str">
        <f>""</f>
        <v/>
      </c>
      <c r="AB1844" t="s">
        <v>632</v>
      </c>
    </row>
    <row r="1845" spans="1:28" x14ac:dyDescent="0.25">
      <c r="A1845">
        <v>79578</v>
      </c>
      <c r="B1845" t="str">
        <f>"078940000"</f>
        <v>078940000</v>
      </c>
      <c r="C1845" t="s">
        <v>6479</v>
      </c>
      <c r="D1845">
        <v>0</v>
      </c>
      <c r="E1845" t="str">
        <f>""</f>
        <v/>
      </c>
      <c r="G1845" t="s">
        <v>29</v>
      </c>
      <c r="H1845" t="s">
        <v>6480</v>
      </c>
      <c r="I1845" t="s">
        <v>6481</v>
      </c>
      <c r="J1845" t="s">
        <v>486</v>
      </c>
      <c r="K1845" t="str">
        <f>"6022663989"</f>
        <v>6022663989</v>
      </c>
      <c r="L1845" t="str">
        <f>"210"</f>
        <v>210</v>
      </c>
      <c r="M1845" t="str">
        <f>"6022663979"</f>
        <v>6022663979</v>
      </c>
      <c r="N1845" t="str">
        <f>""</f>
        <v/>
      </c>
      <c r="O1845" t="s">
        <v>6482</v>
      </c>
      <c r="P1845" t="s">
        <v>6483</v>
      </c>
      <c r="Q1845" t="s">
        <v>6484</v>
      </c>
      <c r="R1845" t="s">
        <v>964</v>
      </c>
      <c r="S1845" t="s">
        <v>36</v>
      </c>
      <c r="T1845" t="str">
        <f>"85017"</f>
        <v>85017</v>
      </c>
      <c r="U1845" t="str">
        <f>""</f>
        <v/>
      </c>
      <c r="V1845" t="s">
        <v>6483</v>
      </c>
      <c r="W1845" t="s">
        <v>6485</v>
      </c>
      <c r="X1845" t="s">
        <v>964</v>
      </c>
      <c r="Y1845" t="s">
        <v>36</v>
      </c>
      <c r="Z1845" t="str">
        <f>"85017"</f>
        <v>85017</v>
      </c>
      <c r="AA1845" t="str">
        <f>""</f>
        <v/>
      </c>
      <c r="AB1845" t="s">
        <v>516</v>
      </c>
    </row>
    <row r="1846" spans="1:28" x14ac:dyDescent="0.25">
      <c r="A1846">
        <v>79578</v>
      </c>
      <c r="B1846" t="str">
        <f>"078940000"</f>
        <v>078940000</v>
      </c>
      <c r="C1846" t="s">
        <v>6479</v>
      </c>
      <c r="D1846">
        <v>79579</v>
      </c>
      <c r="E1846" t="str">
        <f>"078940101"</f>
        <v>078940101</v>
      </c>
      <c r="F1846" t="s">
        <v>6486</v>
      </c>
      <c r="G1846" t="s">
        <v>42</v>
      </c>
      <c r="H1846" t="s">
        <v>6487</v>
      </c>
      <c r="I1846" t="s">
        <v>6488</v>
      </c>
      <c r="J1846" t="s">
        <v>295</v>
      </c>
      <c r="K1846" t="str">
        <f>"6022663989"</f>
        <v>6022663989</v>
      </c>
      <c r="L1846" t="str">
        <f>"210"</f>
        <v>210</v>
      </c>
      <c r="M1846" t="str">
        <f>"6022663979"</f>
        <v>6022663979</v>
      </c>
      <c r="N1846" t="str">
        <f>""</f>
        <v/>
      </c>
      <c r="O1846" t="s">
        <v>6489</v>
      </c>
      <c r="P1846" t="s">
        <v>6490</v>
      </c>
      <c r="Q1846" t="s">
        <v>6491</v>
      </c>
      <c r="R1846" t="s">
        <v>964</v>
      </c>
      <c r="S1846" t="s">
        <v>36</v>
      </c>
      <c r="T1846" t="str">
        <f>"85017"</f>
        <v>85017</v>
      </c>
      <c r="U1846" t="str">
        <f>""</f>
        <v/>
      </c>
      <c r="V1846" t="s">
        <v>6490</v>
      </c>
      <c r="W1846" t="s">
        <v>6491</v>
      </c>
      <c r="X1846" t="s">
        <v>964</v>
      </c>
      <c r="Y1846" t="s">
        <v>36</v>
      </c>
      <c r="Z1846" t="str">
        <f>"85017"</f>
        <v>85017</v>
      </c>
      <c r="AA1846" t="str">
        <f>""</f>
        <v/>
      </c>
      <c r="AB1846" t="s">
        <v>516</v>
      </c>
    </row>
    <row r="1847" spans="1:28" x14ac:dyDescent="0.25">
      <c r="A1847">
        <v>79589</v>
      </c>
      <c r="B1847" t="str">
        <f>"211019000"</f>
        <v>211019000</v>
      </c>
      <c r="C1847" t="s">
        <v>6492</v>
      </c>
      <c r="D1847">
        <v>0</v>
      </c>
      <c r="E1847" t="str">
        <f>""</f>
        <v/>
      </c>
      <c r="G1847" t="s">
        <v>29</v>
      </c>
      <c r="H1847" t="s">
        <v>6493</v>
      </c>
      <c r="I1847" t="s">
        <v>6494</v>
      </c>
      <c r="J1847" t="s">
        <v>6495</v>
      </c>
      <c r="K1847" t="str">
        <f>"9287530072"</f>
        <v>9287530072</v>
      </c>
      <c r="L1847" t="str">
        <f>"4439"</f>
        <v>4439</v>
      </c>
      <c r="M1847" t="str">
        <f>""</f>
        <v/>
      </c>
      <c r="N1847" t="str">
        <f>""</f>
        <v/>
      </c>
      <c r="O1847" t="s">
        <v>6496</v>
      </c>
      <c r="P1847" t="s">
        <v>6497</v>
      </c>
      <c r="R1847" t="s">
        <v>3842</v>
      </c>
      <c r="S1847" t="s">
        <v>36</v>
      </c>
      <c r="T1847" t="str">
        <f>"86402"</f>
        <v>86402</v>
      </c>
      <c r="U1847" t="str">
        <f>""</f>
        <v/>
      </c>
      <c r="V1847" t="s">
        <v>6498</v>
      </c>
      <c r="X1847" t="s">
        <v>3842</v>
      </c>
      <c r="Y1847" t="s">
        <v>36</v>
      </c>
      <c r="Z1847" t="str">
        <f>"86401"</f>
        <v>86401</v>
      </c>
      <c r="AA1847" t="str">
        <f>""</f>
        <v/>
      </c>
      <c r="AB1847" t="s">
        <v>508</v>
      </c>
    </row>
    <row r="1848" spans="1:28" x14ac:dyDescent="0.25">
      <c r="A1848">
        <v>79589</v>
      </c>
      <c r="B1848" t="str">
        <f>"211019000"</f>
        <v>211019000</v>
      </c>
      <c r="C1848" t="s">
        <v>6492</v>
      </c>
      <c r="D1848">
        <v>79429</v>
      </c>
      <c r="E1848" t="str">
        <f>"211019001"</f>
        <v>211019001</v>
      </c>
      <c r="F1848" t="s">
        <v>6499</v>
      </c>
      <c r="G1848" t="s">
        <v>42</v>
      </c>
      <c r="H1848" t="s">
        <v>1394</v>
      </c>
      <c r="I1848" t="s">
        <v>6500</v>
      </c>
      <c r="J1848" t="s">
        <v>6501</v>
      </c>
      <c r="K1848" t="str">
        <f>"9287530720"</f>
        <v>9287530720</v>
      </c>
      <c r="L1848" t="str">
        <f>"4050"</f>
        <v>4050</v>
      </c>
      <c r="M1848" t="str">
        <f>"9287531781"</f>
        <v>9287531781</v>
      </c>
      <c r="N1848" t="str">
        <f>""</f>
        <v/>
      </c>
      <c r="O1848" t="s">
        <v>6502</v>
      </c>
      <c r="P1848" t="s">
        <v>6503</v>
      </c>
      <c r="R1848" t="s">
        <v>3842</v>
      </c>
      <c r="S1848" t="s">
        <v>36</v>
      </c>
      <c r="T1848" t="str">
        <f>"86402"</f>
        <v>86402</v>
      </c>
      <c r="U1848" t="str">
        <f>""</f>
        <v/>
      </c>
      <c r="V1848" t="s">
        <v>6498</v>
      </c>
      <c r="X1848" t="s">
        <v>3842</v>
      </c>
      <c r="Y1848" t="s">
        <v>36</v>
      </c>
      <c r="Z1848" t="str">
        <f>"86401"</f>
        <v>86401</v>
      </c>
      <c r="AA1848" t="str">
        <f>""</f>
        <v/>
      </c>
      <c r="AB1848" t="s">
        <v>508</v>
      </c>
    </row>
    <row r="1849" spans="1:28" x14ac:dyDescent="0.25">
      <c r="A1849">
        <v>79598</v>
      </c>
      <c r="B1849" t="str">
        <f t="shared" ref="B1849:B1860" si="298">"080220000"</f>
        <v>080220000</v>
      </c>
      <c r="C1849" t="s">
        <v>6504</v>
      </c>
      <c r="D1849">
        <v>0</v>
      </c>
      <c r="E1849" t="str">
        <f>""</f>
        <v/>
      </c>
      <c r="G1849" t="s">
        <v>29</v>
      </c>
      <c r="H1849" t="s">
        <v>6505</v>
      </c>
      <c r="I1849" t="s">
        <v>6110</v>
      </c>
      <c r="J1849" t="s">
        <v>710</v>
      </c>
      <c r="K1849" t="str">
        <f>"9287535678"</f>
        <v>9287535678</v>
      </c>
      <c r="L1849" t="str">
        <f>"2014"</f>
        <v>2014</v>
      </c>
      <c r="M1849" t="str">
        <f t="shared" ref="M1849:M1860" si="299">"9287538390"</f>
        <v>9287538390</v>
      </c>
      <c r="N1849" t="str">
        <f>""</f>
        <v/>
      </c>
      <c r="O1849" t="s">
        <v>6506</v>
      </c>
      <c r="P1849" t="s">
        <v>6507</v>
      </c>
      <c r="R1849" t="s">
        <v>3842</v>
      </c>
      <c r="S1849" t="s">
        <v>36</v>
      </c>
      <c r="T1849" t="str">
        <f>"86401"</f>
        <v>86401</v>
      </c>
      <c r="U1849" t="str">
        <f>""</f>
        <v/>
      </c>
      <c r="V1849" t="s">
        <v>6508</v>
      </c>
      <c r="X1849" t="s">
        <v>3842</v>
      </c>
      <c r="Y1849" t="s">
        <v>36</v>
      </c>
      <c r="Z1849" t="str">
        <f>"86401"</f>
        <v>86401</v>
      </c>
      <c r="AA1849" t="str">
        <f>""</f>
        <v/>
      </c>
      <c r="AB1849" t="s">
        <v>2345</v>
      </c>
    </row>
    <row r="1850" spans="1:28" x14ac:dyDescent="0.25">
      <c r="A1850">
        <v>79598</v>
      </c>
      <c r="B1850" t="str">
        <f t="shared" si="298"/>
        <v>080220000</v>
      </c>
      <c r="C1850" t="s">
        <v>6504</v>
      </c>
      <c r="D1850">
        <v>5571</v>
      </c>
      <c r="E1850" t="str">
        <f>"080220110"</f>
        <v>080220110</v>
      </c>
      <c r="F1850" t="s">
        <v>6509</v>
      </c>
      <c r="G1850" t="s">
        <v>42</v>
      </c>
      <c r="H1850" t="s">
        <v>6510</v>
      </c>
      <c r="I1850" t="s">
        <v>865</v>
      </c>
      <c r="J1850" t="s">
        <v>6511</v>
      </c>
      <c r="K1850" t="str">
        <f t="shared" ref="K1850:K1860" si="300">"9287536190"</f>
        <v>9287536190</v>
      </c>
      <c r="L1850" t="str">
        <f t="shared" ref="L1850:L1860" si="301">"2301"</f>
        <v>2301</v>
      </c>
      <c r="M1850" t="str">
        <f t="shared" si="299"/>
        <v>9287538390</v>
      </c>
      <c r="N1850" t="str">
        <f>""</f>
        <v/>
      </c>
      <c r="O1850" t="s">
        <v>6512</v>
      </c>
      <c r="P1850" t="s">
        <v>6513</v>
      </c>
      <c r="R1850" t="s">
        <v>3842</v>
      </c>
      <c r="S1850" t="s">
        <v>36</v>
      </c>
      <c r="T1850" t="str">
        <f>"86401"</f>
        <v>86401</v>
      </c>
      <c r="U1850" t="str">
        <f>""</f>
        <v/>
      </c>
      <c r="V1850" t="s">
        <v>6514</v>
      </c>
      <c r="X1850" t="s">
        <v>3842</v>
      </c>
      <c r="Y1850" t="s">
        <v>36</v>
      </c>
      <c r="Z1850" t="str">
        <f>"86401"</f>
        <v>86401</v>
      </c>
      <c r="AA1850" t="str">
        <f>""</f>
        <v/>
      </c>
      <c r="AB1850" t="s">
        <v>2345</v>
      </c>
    </row>
    <row r="1851" spans="1:28" x14ac:dyDescent="0.25">
      <c r="A1851">
        <v>79598</v>
      </c>
      <c r="B1851" t="str">
        <f t="shared" si="298"/>
        <v>080220000</v>
      </c>
      <c r="C1851" t="s">
        <v>6504</v>
      </c>
      <c r="D1851">
        <v>5572</v>
      </c>
      <c r="E1851" t="str">
        <f>"080220111"</f>
        <v>080220111</v>
      </c>
      <c r="F1851" t="s">
        <v>6515</v>
      </c>
      <c r="G1851" t="s">
        <v>42</v>
      </c>
      <c r="H1851" t="s">
        <v>6510</v>
      </c>
      <c r="I1851" t="s">
        <v>865</v>
      </c>
      <c r="J1851" t="s">
        <v>6511</v>
      </c>
      <c r="K1851" t="str">
        <f t="shared" si="300"/>
        <v>9287536190</v>
      </c>
      <c r="L1851" t="str">
        <f t="shared" si="301"/>
        <v>2301</v>
      </c>
      <c r="M1851" t="str">
        <f t="shared" si="299"/>
        <v>9287538390</v>
      </c>
      <c r="N1851" t="str">
        <f>""</f>
        <v/>
      </c>
      <c r="O1851" t="s">
        <v>6512</v>
      </c>
      <c r="P1851" t="s">
        <v>6507</v>
      </c>
      <c r="R1851" t="s">
        <v>3842</v>
      </c>
      <c r="S1851" t="s">
        <v>36</v>
      </c>
      <c r="T1851" t="str">
        <f>"86409"</f>
        <v>86409</v>
      </c>
      <c r="U1851" t="str">
        <f>""</f>
        <v/>
      </c>
      <c r="V1851" t="s">
        <v>6516</v>
      </c>
      <c r="X1851" t="s">
        <v>3842</v>
      </c>
      <c r="Y1851" t="s">
        <v>36</v>
      </c>
      <c r="Z1851" t="str">
        <f>"86409"</f>
        <v>86409</v>
      </c>
      <c r="AA1851" t="str">
        <f>""</f>
        <v/>
      </c>
      <c r="AB1851" t="s">
        <v>2345</v>
      </c>
    </row>
    <row r="1852" spans="1:28" x14ac:dyDescent="0.25">
      <c r="A1852">
        <v>79598</v>
      </c>
      <c r="B1852" t="str">
        <f t="shared" si="298"/>
        <v>080220000</v>
      </c>
      <c r="C1852" t="s">
        <v>6504</v>
      </c>
      <c r="D1852">
        <v>5573</v>
      </c>
      <c r="E1852" t="str">
        <f>"080220112"</f>
        <v>080220112</v>
      </c>
      <c r="F1852" t="s">
        <v>6517</v>
      </c>
      <c r="G1852" t="s">
        <v>42</v>
      </c>
      <c r="H1852" t="s">
        <v>6510</v>
      </c>
      <c r="I1852" t="s">
        <v>865</v>
      </c>
      <c r="J1852" t="s">
        <v>6511</v>
      </c>
      <c r="K1852" t="str">
        <f t="shared" si="300"/>
        <v>9287536190</v>
      </c>
      <c r="L1852" t="str">
        <f t="shared" si="301"/>
        <v>2301</v>
      </c>
      <c r="M1852" t="str">
        <f t="shared" si="299"/>
        <v>9287538390</v>
      </c>
      <c r="N1852" t="str">
        <f>""</f>
        <v/>
      </c>
      <c r="O1852" t="s">
        <v>6512</v>
      </c>
      <c r="P1852" t="s">
        <v>6507</v>
      </c>
      <c r="R1852" t="s">
        <v>3842</v>
      </c>
      <c r="S1852" t="s">
        <v>36</v>
      </c>
      <c r="T1852" t="str">
        <f t="shared" ref="T1852:T1860" si="302">"86401"</f>
        <v>86401</v>
      </c>
      <c r="U1852" t="str">
        <f>""</f>
        <v/>
      </c>
      <c r="V1852" t="s">
        <v>6518</v>
      </c>
      <c r="X1852" t="s">
        <v>3842</v>
      </c>
      <c r="Y1852" t="s">
        <v>36</v>
      </c>
      <c r="Z1852" t="str">
        <f>"86401"</f>
        <v>86401</v>
      </c>
      <c r="AA1852" t="str">
        <f>""</f>
        <v/>
      </c>
      <c r="AB1852" t="s">
        <v>2345</v>
      </c>
    </row>
    <row r="1853" spans="1:28" x14ac:dyDescent="0.25">
      <c r="A1853">
        <v>79598</v>
      </c>
      <c r="B1853" t="str">
        <f t="shared" si="298"/>
        <v>080220000</v>
      </c>
      <c r="C1853" t="s">
        <v>6504</v>
      </c>
      <c r="D1853">
        <v>5575</v>
      </c>
      <c r="E1853" t="str">
        <f>"080220114"</f>
        <v>080220114</v>
      </c>
      <c r="F1853" t="s">
        <v>6519</v>
      </c>
      <c r="G1853" t="s">
        <v>42</v>
      </c>
      <c r="H1853" t="s">
        <v>6510</v>
      </c>
      <c r="I1853" t="s">
        <v>865</v>
      </c>
      <c r="J1853" t="s">
        <v>6511</v>
      </c>
      <c r="K1853" t="str">
        <f t="shared" si="300"/>
        <v>9287536190</v>
      </c>
      <c r="L1853" t="str">
        <f t="shared" si="301"/>
        <v>2301</v>
      </c>
      <c r="M1853" t="str">
        <f t="shared" si="299"/>
        <v>9287538390</v>
      </c>
      <c r="N1853" t="str">
        <f>""</f>
        <v/>
      </c>
      <c r="O1853" t="s">
        <v>6512</v>
      </c>
      <c r="P1853" t="s">
        <v>6507</v>
      </c>
      <c r="R1853" t="s">
        <v>3842</v>
      </c>
      <c r="S1853" t="s">
        <v>36</v>
      </c>
      <c r="T1853" t="str">
        <f t="shared" si="302"/>
        <v>86401</v>
      </c>
      <c r="U1853" t="str">
        <f>""</f>
        <v/>
      </c>
      <c r="V1853" t="s">
        <v>6520</v>
      </c>
      <c r="X1853" t="s">
        <v>3842</v>
      </c>
      <c r="Y1853" t="s">
        <v>36</v>
      </c>
      <c r="Z1853" t="str">
        <f>"86401"</f>
        <v>86401</v>
      </c>
      <c r="AA1853" t="str">
        <f>""</f>
        <v/>
      </c>
      <c r="AB1853" t="s">
        <v>2345</v>
      </c>
    </row>
    <row r="1854" spans="1:28" x14ac:dyDescent="0.25">
      <c r="A1854">
        <v>79598</v>
      </c>
      <c r="B1854" t="str">
        <f t="shared" si="298"/>
        <v>080220000</v>
      </c>
      <c r="C1854" t="s">
        <v>6504</v>
      </c>
      <c r="D1854">
        <v>5576</v>
      </c>
      <c r="E1854" t="str">
        <f>"080220115"</f>
        <v>080220115</v>
      </c>
      <c r="F1854" t="s">
        <v>6521</v>
      </c>
      <c r="G1854" t="s">
        <v>42</v>
      </c>
      <c r="H1854" t="s">
        <v>6510</v>
      </c>
      <c r="I1854" t="s">
        <v>865</v>
      </c>
      <c r="J1854" t="s">
        <v>6511</v>
      </c>
      <c r="K1854" t="str">
        <f t="shared" si="300"/>
        <v>9287536190</v>
      </c>
      <c r="L1854" t="str">
        <f t="shared" si="301"/>
        <v>2301</v>
      </c>
      <c r="M1854" t="str">
        <f t="shared" si="299"/>
        <v>9287538390</v>
      </c>
      <c r="N1854" t="str">
        <f>""</f>
        <v/>
      </c>
      <c r="O1854" t="s">
        <v>6512</v>
      </c>
      <c r="P1854" t="s">
        <v>6522</v>
      </c>
      <c r="R1854" t="s">
        <v>3842</v>
      </c>
      <c r="S1854" t="s">
        <v>36</v>
      </c>
      <c r="T1854" t="str">
        <f t="shared" si="302"/>
        <v>86401</v>
      </c>
      <c r="U1854" t="str">
        <f>""</f>
        <v/>
      </c>
      <c r="V1854" t="s">
        <v>6523</v>
      </c>
      <c r="X1854" t="s">
        <v>3842</v>
      </c>
      <c r="Y1854" t="s">
        <v>36</v>
      </c>
      <c r="Z1854" t="str">
        <f>"86409"</f>
        <v>86409</v>
      </c>
      <c r="AA1854" t="str">
        <f>""</f>
        <v/>
      </c>
      <c r="AB1854" t="s">
        <v>2345</v>
      </c>
    </row>
    <row r="1855" spans="1:28" x14ac:dyDescent="0.25">
      <c r="A1855">
        <v>79598</v>
      </c>
      <c r="B1855" t="str">
        <f t="shared" si="298"/>
        <v>080220000</v>
      </c>
      <c r="C1855" t="s">
        <v>6504</v>
      </c>
      <c r="D1855">
        <v>5577</v>
      </c>
      <c r="E1855" t="str">
        <f>"080220116"</f>
        <v>080220116</v>
      </c>
      <c r="F1855" t="s">
        <v>1918</v>
      </c>
      <c r="G1855" t="s">
        <v>42</v>
      </c>
      <c r="H1855" t="s">
        <v>6510</v>
      </c>
      <c r="I1855" t="s">
        <v>865</v>
      </c>
      <c r="J1855" t="s">
        <v>6511</v>
      </c>
      <c r="K1855" t="str">
        <f t="shared" si="300"/>
        <v>9287536190</v>
      </c>
      <c r="L1855" t="str">
        <f t="shared" si="301"/>
        <v>2301</v>
      </c>
      <c r="M1855" t="str">
        <f t="shared" si="299"/>
        <v>9287538390</v>
      </c>
      <c r="N1855" t="str">
        <f>""</f>
        <v/>
      </c>
      <c r="O1855" t="s">
        <v>6512</v>
      </c>
      <c r="P1855" t="s">
        <v>6507</v>
      </c>
      <c r="R1855" t="s">
        <v>3842</v>
      </c>
      <c r="S1855" t="s">
        <v>36</v>
      </c>
      <c r="T1855" t="str">
        <f t="shared" si="302"/>
        <v>86401</v>
      </c>
      <c r="U1855" t="str">
        <f>""</f>
        <v/>
      </c>
      <c r="V1855" t="s">
        <v>6524</v>
      </c>
      <c r="X1855" t="s">
        <v>6525</v>
      </c>
      <c r="Y1855" t="s">
        <v>36</v>
      </c>
      <c r="Z1855" t="str">
        <f>"86413"</f>
        <v>86413</v>
      </c>
      <c r="AA1855" t="str">
        <f>""</f>
        <v/>
      </c>
      <c r="AB1855" t="s">
        <v>2345</v>
      </c>
    </row>
    <row r="1856" spans="1:28" x14ac:dyDescent="0.25">
      <c r="A1856">
        <v>79598</v>
      </c>
      <c r="B1856" t="str">
        <f t="shared" si="298"/>
        <v>080220000</v>
      </c>
      <c r="C1856" t="s">
        <v>6504</v>
      </c>
      <c r="D1856">
        <v>5580</v>
      </c>
      <c r="E1856" t="str">
        <f>"080220117"</f>
        <v>080220117</v>
      </c>
      <c r="F1856" t="s">
        <v>6526</v>
      </c>
      <c r="G1856" t="s">
        <v>42</v>
      </c>
      <c r="H1856" t="s">
        <v>6510</v>
      </c>
      <c r="I1856" t="s">
        <v>865</v>
      </c>
      <c r="J1856" t="s">
        <v>6511</v>
      </c>
      <c r="K1856" t="str">
        <f t="shared" si="300"/>
        <v>9287536190</v>
      </c>
      <c r="L1856" t="str">
        <f t="shared" si="301"/>
        <v>2301</v>
      </c>
      <c r="M1856" t="str">
        <f t="shared" si="299"/>
        <v>9287538390</v>
      </c>
      <c r="N1856" t="str">
        <f>""</f>
        <v/>
      </c>
      <c r="O1856" t="s">
        <v>6512</v>
      </c>
      <c r="P1856" t="s">
        <v>6513</v>
      </c>
      <c r="R1856" t="s">
        <v>3842</v>
      </c>
      <c r="S1856" t="s">
        <v>36</v>
      </c>
      <c r="T1856" t="str">
        <f t="shared" si="302"/>
        <v>86401</v>
      </c>
      <c r="U1856" t="str">
        <f>""</f>
        <v/>
      </c>
      <c r="V1856" t="s">
        <v>6527</v>
      </c>
      <c r="X1856" t="s">
        <v>6528</v>
      </c>
      <c r="Y1856" t="s">
        <v>36</v>
      </c>
      <c r="Z1856" t="str">
        <f>"86441"</f>
        <v>86441</v>
      </c>
      <c r="AA1856" t="str">
        <f>""</f>
        <v/>
      </c>
      <c r="AB1856" t="s">
        <v>2345</v>
      </c>
    </row>
    <row r="1857" spans="1:28" x14ac:dyDescent="0.25">
      <c r="A1857">
        <v>79598</v>
      </c>
      <c r="B1857" t="str">
        <f t="shared" si="298"/>
        <v>080220000</v>
      </c>
      <c r="C1857" t="s">
        <v>6504</v>
      </c>
      <c r="D1857">
        <v>5595</v>
      </c>
      <c r="E1857" t="str">
        <f>"080220202"</f>
        <v>080220202</v>
      </c>
      <c r="F1857" t="s">
        <v>6529</v>
      </c>
      <c r="G1857" t="s">
        <v>42</v>
      </c>
      <c r="H1857" t="s">
        <v>6510</v>
      </c>
      <c r="I1857" t="s">
        <v>865</v>
      </c>
      <c r="J1857" t="s">
        <v>6511</v>
      </c>
      <c r="K1857" t="str">
        <f t="shared" si="300"/>
        <v>9287536190</v>
      </c>
      <c r="L1857" t="str">
        <f t="shared" si="301"/>
        <v>2301</v>
      </c>
      <c r="M1857" t="str">
        <f t="shared" si="299"/>
        <v>9287538390</v>
      </c>
      <c r="N1857" t="str">
        <f>""</f>
        <v/>
      </c>
      <c r="O1857" t="s">
        <v>6512</v>
      </c>
      <c r="P1857" t="s">
        <v>6507</v>
      </c>
      <c r="R1857" t="s">
        <v>3842</v>
      </c>
      <c r="S1857" t="s">
        <v>36</v>
      </c>
      <c r="T1857" t="str">
        <f t="shared" si="302"/>
        <v>86401</v>
      </c>
      <c r="U1857" t="str">
        <f>""</f>
        <v/>
      </c>
      <c r="V1857" t="s">
        <v>6530</v>
      </c>
      <c r="X1857" t="s">
        <v>3842</v>
      </c>
      <c r="Y1857" t="s">
        <v>36</v>
      </c>
      <c r="Z1857" t="str">
        <f>"86409"</f>
        <v>86409</v>
      </c>
      <c r="AA1857" t="str">
        <f>""</f>
        <v/>
      </c>
      <c r="AB1857" t="s">
        <v>2345</v>
      </c>
    </row>
    <row r="1858" spans="1:28" x14ac:dyDescent="0.25">
      <c r="A1858">
        <v>79598</v>
      </c>
      <c r="B1858" t="str">
        <f t="shared" si="298"/>
        <v>080220000</v>
      </c>
      <c r="C1858" t="s">
        <v>6504</v>
      </c>
      <c r="D1858">
        <v>88409</v>
      </c>
      <c r="E1858" t="str">
        <f>"080220118"</f>
        <v>080220118</v>
      </c>
      <c r="F1858" t="s">
        <v>6531</v>
      </c>
      <c r="G1858" t="s">
        <v>42</v>
      </c>
      <c r="H1858" t="s">
        <v>6510</v>
      </c>
      <c r="I1858" t="s">
        <v>865</v>
      </c>
      <c r="J1858" t="s">
        <v>6511</v>
      </c>
      <c r="K1858" t="str">
        <f t="shared" si="300"/>
        <v>9287536190</v>
      </c>
      <c r="L1858" t="str">
        <f t="shared" si="301"/>
        <v>2301</v>
      </c>
      <c r="M1858" t="str">
        <f t="shared" si="299"/>
        <v>9287538390</v>
      </c>
      <c r="N1858" t="str">
        <f>""</f>
        <v/>
      </c>
      <c r="O1858" t="s">
        <v>6512</v>
      </c>
      <c r="P1858" t="s">
        <v>6522</v>
      </c>
      <c r="R1858" t="s">
        <v>3842</v>
      </c>
      <c r="S1858" t="s">
        <v>36</v>
      </c>
      <c r="T1858" t="str">
        <f t="shared" si="302"/>
        <v>86401</v>
      </c>
      <c r="U1858" t="str">
        <f>""</f>
        <v/>
      </c>
      <c r="V1858" t="s">
        <v>6532</v>
      </c>
      <c r="X1858" t="s">
        <v>3842</v>
      </c>
      <c r="Y1858" t="s">
        <v>36</v>
      </c>
      <c r="Z1858" t="str">
        <f>"86401"</f>
        <v>86401</v>
      </c>
      <c r="AA1858" t="str">
        <f>""</f>
        <v/>
      </c>
      <c r="AB1858" t="s">
        <v>2345</v>
      </c>
    </row>
    <row r="1859" spans="1:28" x14ac:dyDescent="0.25">
      <c r="A1859">
        <v>79598</v>
      </c>
      <c r="B1859" t="str">
        <f t="shared" si="298"/>
        <v>080220000</v>
      </c>
      <c r="C1859" t="s">
        <v>6504</v>
      </c>
      <c r="D1859">
        <v>90667</v>
      </c>
      <c r="E1859" t="str">
        <f>"080220119"</f>
        <v>080220119</v>
      </c>
      <c r="F1859" t="s">
        <v>1926</v>
      </c>
      <c r="G1859" t="s">
        <v>42</v>
      </c>
      <c r="H1859" t="s">
        <v>6510</v>
      </c>
      <c r="I1859" t="s">
        <v>865</v>
      </c>
      <c r="J1859" t="s">
        <v>6511</v>
      </c>
      <c r="K1859" t="str">
        <f t="shared" si="300"/>
        <v>9287536190</v>
      </c>
      <c r="L1859" t="str">
        <f t="shared" si="301"/>
        <v>2301</v>
      </c>
      <c r="M1859" t="str">
        <f t="shared" si="299"/>
        <v>9287538390</v>
      </c>
      <c r="N1859" t="str">
        <f>""</f>
        <v/>
      </c>
      <c r="O1859" t="s">
        <v>6512</v>
      </c>
      <c r="P1859" t="s">
        <v>6522</v>
      </c>
      <c r="R1859" t="s">
        <v>3842</v>
      </c>
      <c r="S1859" t="s">
        <v>36</v>
      </c>
      <c r="T1859" t="str">
        <f t="shared" si="302"/>
        <v>86401</v>
      </c>
      <c r="U1859" t="str">
        <f>""</f>
        <v/>
      </c>
      <c r="V1859" t="s">
        <v>6533</v>
      </c>
      <c r="X1859" t="s">
        <v>3842</v>
      </c>
      <c r="Y1859" t="s">
        <v>36</v>
      </c>
      <c r="Z1859" t="str">
        <f>"86401"</f>
        <v>86401</v>
      </c>
      <c r="AA1859" t="str">
        <f>""</f>
        <v/>
      </c>
      <c r="AB1859" t="s">
        <v>2345</v>
      </c>
    </row>
    <row r="1860" spans="1:28" x14ac:dyDescent="0.25">
      <c r="A1860">
        <v>79598</v>
      </c>
      <c r="B1860" t="str">
        <f t="shared" si="298"/>
        <v>080220000</v>
      </c>
      <c r="C1860" t="s">
        <v>6504</v>
      </c>
      <c r="D1860">
        <v>91772</v>
      </c>
      <c r="E1860" t="str">
        <f>"080220203"</f>
        <v>080220203</v>
      </c>
      <c r="F1860" t="s">
        <v>6534</v>
      </c>
      <c r="G1860" t="s">
        <v>42</v>
      </c>
      <c r="H1860" t="s">
        <v>6535</v>
      </c>
      <c r="I1860" t="s">
        <v>865</v>
      </c>
      <c r="J1860" t="s">
        <v>6511</v>
      </c>
      <c r="K1860" t="str">
        <f t="shared" si="300"/>
        <v>9287536190</v>
      </c>
      <c r="L1860" t="str">
        <f t="shared" si="301"/>
        <v>2301</v>
      </c>
      <c r="M1860" t="str">
        <f t="shared" si="299"/>
        <v>9287538390</v>
      </c>
      <c r="N1860" t="str">
        <f>""</f>
        <v/>
      </c>
      <c r="O1860" t="s">
        <v>6512</v>
      </c>
      <c r="P1860" t="s">
        <v>6522</v>
      </c>
      <c r="R1860" t="s">
        <v>3842</v>
      </c>
      <c r="S1860" t="s">
        <v>36</v>
      </c>
      <c r="T1860" t="str">
        <f t="shared" si="302"/>
        <v>86401</v>
      </c>
      <c r="U1860" t="str">
        <f>""</f>
        <v/>
      </c>
      <c r="V1860" t="s">
        <v>6536</v>
      </c>
      <c r="X1860" t="s">
        <v>3842</v>
      </c>
      <c r="Y1860" t="s">
        <v>36</v>
      </c>
      <c r="Z1860" t="str">
        <f>"86401"</f>
        <v>86401</v>
      </c>
      <c r="AA1860" t="str">
        <f>""</f>
        <v/>
      </c>
      <c r="AB1860" t="s">
        <v>2345</v>
      </c>
    </row>
    <row r="1861" spans="1:28" x14ac:dyDescent="0.25">
      <c r="A1861">
        <v>79716</v>
      </c>
      <c r="B1861" t="str">
        <f>"072026000"</f>
        <v>072026000</v>
      </c>
      <c r="C1861" t="s">
        <v>6537</v>
      </c>
      <c r="D1861">
        <v>0</v>
      </c>
      <c r="E1861" t="str">
        <f>""</f>
        <v/>
      </c>
      <c r="G1861" t="s">
        <v>29</v>
      </c>
      <c r="H1861" t="s">
        <v>6538</v>
      </c>
      <c r="I1861" t="s">
        <v>6539</v>
      </c>
      <c r="J1861" t="s">
        <v>6540</v>
      </c>
      <c r="K1861" t="str">
        <f>"4809690226"</f>
        <v>4809690226</v>
      </c>
      <c r="L1861" t="str">
        <f>""</f>
        <v/>
      </c>
      <c r="M1861" t="str">
        <f>"4802752097"</f>
        <v>4802752097</v>
      </c>
      <c r="N1861" t="str">
        <f>""</f>
        <v/>
      </c>
      <c r="O1861" t="s">
        <v>6541</v>
      </c>
      <c r="P1861" t="s">
        <v>6542</v>
      </c>
      <c r="R1861" t="s">
        <v>979</v>
      </c>
      <c r="S1861" t="s">
        <v>36</v>
      </c>
      <c r="T1861" t="str">
        <f>"85201"</f>
        <v>85201</v>
      </c>
      <c r="U1861" t="str">
        <f>""</f>
        <v/>
      </c>
      <c r="V1861" t="s">
        <v>6542</v>
      </c>
      <c r="X1861" t="s">
        <v>979</v>
      </c>
      <c r="Y1861" t="s">
        <v>36</v>
      </c>
      <c r="Z1861" t="str">
        <f>"85201"</f>
        <v>85201</v>
      </c>
      <c r="AA1861" t="str">
        <f>""</f>
        <v/>
      </c>
      <c r="AB1861" t="s">
        <v>156</v>
      </c>
    </row>
    <row r="1862" spans="1:28" x14ac:dyDescent="0.25">
      <c r="A1862">
        <v>79716</v>
      </c>
      <c r="B1862" t="str">
        <f>"072026000"</f>
        <v>072026000</v>
      </c>
      <c r="C1862" t="s">
        <v>6537</v>
      </c>
      <c r="D1862">
        <v>79717</v>
      </c>
      <c r="E1862" t="str">
        <f>"072026001"</f>
        <v>072026001</v>
      </c>
      <c r="F1862" t="s">
        <v>6543</v>
      </c>
      <c r="G1862" t="s">
        <v>42</v>
      </c>
      <c r="H1862" t="s">
        <v>6538</v>
      </c>
      <c r="I1862" t="s">
        <v>6539</v>
      </c>
      <c r="J1862" t="s">
        <v>6540</v>
      </c>
      <c r="K1862" t="str">
        <f>"4809690226"</f>
        <v>4809690226</v>
      </c>
      <c r="L1862" t="str">
        <f>""</f>
        <v/>
      </c>
      <c r="M1862" t="str">
        <f>"4802752079"</f>
        <v>4802752079</v>
      </c>
      <c r="N1862" t="str">
        <f>""</f>
        <v/>
      </c>
      <c r="O1862" t="s">
        <v>6541</v>
      </c>
      <c r="P1862" t="s">
        <v>6542</v>
      </c>
      <c r="R1862" t="s">
        <v>979</v>
      </c>
      <c r="S1862" t="s">
        <v>36</v>
      </c>
      <c r="T1862" t="str">
        <f>"85201"</f>
        <v>85201</v>
      </c>
      <c r="U1862" t="str">
        <f>""</f>
        <v/>
      </c>
      <c r="V1862" t="s">
        <v>6542</v>
      </c>
      <c r="X1862" t="s">
        <v>979</v>
      </c>
      <c r="Y1862" t="s">
        <v>36</v>
      </c>
      <c r="Z1862" t="str">
        <f>"85201"</f>
        <v>85201</v>
      </c>
      <c r="AA1862" t="str">
        <f>""</f>
        <v/>
      </c>
      <c r="AB1862" t="s">
        <v>156</v>
      </c>
    </row>
    <row r="1863" spans="1:28" x14ac:dyDescent="0.25">
      <c r="A1863">
        <v>79793</v>
      </c>
      <c r="B1863" t="str">
        <f>"033903000"</f>
        <v>033903000</v>
      </c>
      <c r="C1863" t="s">
        <v>6544</v>
      </c>
      <c r="D1863">
        <v>0</v>
      </c>
      <c r="E1863" t="str">
        <f>""</f>
        <v/>
      </c>
      <c r="G1863" t="s">
        <v>29</v>
      </c>
      <c r="H1863" t="s">
        <v>6545</v>
      </c>
      <c r="I1863" t="s">
        <v>4961</v>
      </c>
      <c r="J1863" t="s">
        <v>32</v>
      </c>
      <c r="K1863" t="str">
        <f>"9282836271"</f>
        <v>9282836271</v>
      </c>
      <c r="L1863" t="str">
        <f>"170"</f>
        <v>170</v>
      </c>
      <c r="M1863" t="str">
        <f>"9282836604"</f>
        <v>9282836604</v>
      </c>
      <c r="N1863" t="str">
        <f>""</f>
        <v/>
      </c>
      <c r="O1863" t="s">
        <v>6546</v>
      </c>
      <c r="P1863" t="s">
        <v>6547</v>
      </c>
      <c r="Q1863" t="s">
        <v>6548</v>
      </c>
      <c r="R1863" t="s">
        <v>659</v>
      </c>
      <c r="S1863" t="s">
        <v>36</v>
      </c>
      <c r="T1863" t="str">
        <f>"86045"</f>
        <v>86045</v>
      </c>
      <c r="U1863" t="str">
        <f>""</f>
        <v/>
      </c>
      <c r="V1863" t="s">
        <v>6549</v>
      </c>
      <c r="X1863" t="s">
        <v>659</v>
      </c>
      <c r="Y1863" t="s">
        <v>36</v>
      </c>
      <c r="Z1863" t="str">
        <f>"86045"</f>
        <v>86045</v>
      </c>
      <c r="AA1863" t="str">
        <f>""</f>
        <v/>
      </c>
      <c r="AB1863" t="s">
        <v>124</v>
      </c>
    </row>
    <row r="1864" spans="1:28" x14ac:dyDescent="0.25">
      <c r="A1864">
        <v>79793</v>
      </c>
      <c r="B1864" t="str">
        <f>"033903000"</f>
        <v>033903000</v>
      </c>
      <c r="C1864" t="s">
        <v>6544</v>
      </c>
      <c r="D1864">
        <v>4840</v>
      </c>
      <c r="E1864" t="str">
        <f>"033904003"</f>
        <v>033904003</v>
      </c>
      <c r="F1864" t="s">
        <v>6550</v>
      </c>
      <c r="G1864" t="s">
        <v>42</v>
      </c>
      <c r="H1864" t="s">
        <v>6545</v>
      </c>
      <c r="I1864" t="s">
        <v>4961</v>
      </c>
      <c r="J1864" t="s">
        <v>32</v>
      </c>
      <c r="K1864" t="str">
        <f>"9282836271"</f>
        <v>9282836271</v>
      </c>
      <c r="L1864" t="str">
        <f>"170"</f>
        <v>170</v>
      </c>
      <c r="M1864" t="str">
        <f>"9282836604"</f>
        <v>9282836604</v>
      </c>
      <c r="N1864" t="str">
        <f>""</f>
        <v/>
      </c>
      <c r="O1864" t="s">
        <v>6546</v>
      </c>
      <c r="P1864" t="s">
        <v>6547</v>
      </c>
      <c r="Q1864" t="s">
        <v>6548</v>
      </c>
      <c r="R1864" t="s">
        <v>659</v>
      </c>
      <c r="S1864" t="s">
        <v>36</v>
      </c>
      <c r="T1864" t="str">
        <f>"86045"</f>
        <v>86045</v>
      </c>
      <c r="U1864" t="str">
        <f>"0160"</f>
        <v>0160</v>
      </c>
      <c r="V1864" t="s">
        <v>6549</v>
      </c>
      <c r="X1864" t="s">
        <v>659</v>
      </c>
      <c r="Y1864" t="s">
        <v>36</v>
      </c>
      <c r="Z1864" t="str">
        <f>"86045"</f>
        <v>86045</v>
      </c>
      <c r="AA1864" t="str">
        <f>"0160"</f>
        <v>0160</v>
      </c>
      <c r="AB1864" t="s">
        <v>124</v>
      </c>
    </row>
    <row r="1865" spans="1:28" x14ac:dyDescent="0.25">
      <c r="A1865">
        <v>79812</v>
      </c>
      <c r="B1865" t="str">
        <f>"072006000"</f>
        <v>072006000</v>
      </c>
      <c r="C1865" t="s">
        <v>6551</v>
      </c>
      <c r="D1865">
        <v>0</v>
      </c>
      <c r="E1865" t="str">
        <f>""</f>
        <v/>
      </c>
      <c r="G1865" t="s">
        <v>29</v>
      </c>
      <c r="H1865" t="s">
        <v>6552</v>
      </c>
      <c r="I1865" t="s">
        <v>6553</v>
      </c>
      <c r="J1865" t="s">
        <v>202</v>
      </c>
      <c r="K1865" t="str">
        <f>"6024541222"</f>
        <v>6024541222</v>
      </c>
      <c r="L1865" t="str">
        <f>"115"</f>
        <v>115</v>
      </c>
      <c r="M1865" t="str">
        <f>""</f>
        <v/>
      </c>
      <c r="N1865" t="str">
        <f>""</f>
        <v/>
      </c>
      <c r="O1865" t="s">
        <v>6554</v>
      </c>
      <c r="P1865" t="s">
        <v>6555</v>
      </c>
      <c r="R1865" t="s">
        <v>964</v>
      </c>
      <c r="S1865" t="s">
        <v>36</v>
      </c>
      <c r="T1865" t="str">
        <f>"85042"</f>
        <v>85042</v>
      </c>
      <c r="U1865" t="str">
        <f>""</f>
        <v/>
      </c>
      <c r="V1865" t="s">
        <v>6555</v>
      </c>
      <c r="X1865" t="s">
        <v>964</v>
      </c>
      <c r="Y1865" t="s">
        <v>36</v>
      </c>
      <c r="Z1865" t="str">
        <f>"85042"</f>
        <v>85042</v>
      </c>
      <c r="AA1865" t="str">
        <f>""</f>
        <v/>
      </c>
      <c r="AB1865" t="s">
        <v>86</v>
      </c>
    </row>
    <row r="1866" spans="1:28" x14ac:dyDescent="0.25">
      <c r="A1866">
        <v>79812</v>
      </c>
      <c r="B1866" t="str">
        <f>"072006000"</f>
        <v>072006000</v>
      </c>
      <c r="C1866" t="s">
        <v>6551</v>
      </c>
      <c r="D1866">
        <v>79813</v>
      </c>
      <c r="E1866" t="str">
        <f>"072006001"</f>
        <v>072006001</v>
      </c>
      <c r="F1866" t="s">
        <v>6551</v>
      </c>
      <c r="G1866" t="s">
        <v>42</v>
      </c>
      <c r="H1866" t="s">
        <v>6552</v>
      </c>
      <c r="I1866" t="s">
        <v>6553</v>
      </c>
      <c r="J1866" t="s">
        <v>202</v>
      </c>
      <c r="K1866" t="str">
        <f>"6024541222"</f>
        <v>6024541222</v>
      </c>
      <c r="L1866" t="str">
        <f>"115"</f>
        <v>115</v>
      </c>
      <c r="M1866" t="str">
        <f>""</f>
        <v/>
      </c>
      <c r="N1866" t="str">
        <f>""</f>
        <v/>
      </c>
      <c r="O1866" t="s">
        <v>6554</v>
      </c>
      <c r="P1866" t="s">
        <v>6555</v>
      </c>
      <c r="R1866" t="s">
        <v>964</v>
      </c>
      <c r="S1866" t="s">
        <v>36</v>
      </c>
      <c r="T1866" t="str">
        <f>"85042"</f>
        <v>85042</v>
      </c>
      <c r="U1866" t="str">
        <f>""</f>
        <v/>
      </c>
      <c r="V1866" t="s">
        <v>6555</v>
      </c>
      <c r="X1866" t="s">
        <v>964</v>
      </c>
      <c r="Y1866" t="s">
        <v>36</v>
      </c>
      <c r="Z1866" t="str">
        <f>"85042"</f>
        <v>85042</v>
      </c>
      <c r="AA1866" t="str">
        <f>""</f>
        <v/>
      </c>
      <c r="AB1866" t="s">
        <v>86</v>
      </c>
    </row>
    <row r="1867" spans="1:28" x14ac:dyDescent="0.25">
      <c r="A1867">
        <v>79866</v>
      </c>
      <c r="B1867" t="str">
        <f>"038702000"</f>
        <v>038702000</v>
      </c>
      <c r="C1867" t="s">
        <v>6556</v>
      </c>
      <c r="D1867">
        <v>0</v>
      </c>
      <c r="E1867" t="str">
        <f>""</f>
        <v/>
      </c>
      <c r="G1867" t="s">
        <v>29</v>
      </c>
      <c r="H1867" t="s">
        <v>6557</v>
      </c>
      <c r="I1867" t="s">
        <v>1590</v>
      </c>
      <c r="J1867" t="s">
        <v>3734</v>
      </c>
      <c r="K1867" t="str">
        <f>"9287790771"</f>
        <v>9287790771</v>
      </c>
      <c r="L1867" t="str">
        <f>""</f>
        <v/>
      </c>
      <c r="M1867" t="str">
        <f>"9287790774"</f>
        <v>9287790774</v>
      </c>
      <c r="N1867" t="str">
        <f>""</f>
        <v/>
      </c>
      <c r="O1867" t="s">
        <v>6558</v>
      </c>
      <c r="P1867" t="s">
        <v>6559</v>
      </c>
      <c r="R1867" t="s">
        <v>547</v>
      </c>
      <c r="S1867" t="s">
        <v>36</v>
      </c>
      <c r="T1867" t="str">
        <f>"86004"</f>
        <v>86004</v>
      </c>
      <c r="U1867" t="str">
        <f>""</f>
        <v/>
      </c>
      <c r="V1867" t="s">
        <v>6559</v>
      </c>
      <c r="X1867" t="s">
        <v>547</v>
      </c>
      <c r="Y1867" t="s">
        <v>36</v>
      </c>
      <c r="Z1867" t="str">
        <f>"86004"</f>
        <v>86004</v>
      </c>
      <c r="AA1867" t="str">
        <f>""</f>
        <v/>
      </c>
      <c r="AB1867" t="s">
        <v>2306</v>
      </c>
    </row>
    <row r="1868" spans="1:28" x14ac:dyDescent="0.25">
      <c r="A1868">
        <v>79866</v>
      </c>
      <c r="B1868" t="str">
        <f>"038702000"</f>
        <v>038702000</v>
      </c>
      <c r="C1868" t="s">
        <v>6556</v>
      </c>
      <c r="D1868">
        <v>79884</v>
      </c>
      <c r="E1868" t="str">
        <f>"038702101"</f>
        <v>038702101</v>
      </c>
      <c r="F1868" t="s">
        <v>6560</v>
      </c>
      <c r="G1868" t="s">
        <v>42</v>
      </c>
      <c r="H1868" t="s">
        <v>6557</v>
      </c>
      <c r="I1868" t="s">
        <v>1590</v>
      </c>
      <c r="J1868" t="s">
        <v>3734</v>
      </c>
      <c r="K1868" t="str">
        <f>"9287790771"</f>
        <v>9287790771</v>
      </c>
      <c r="L1868" t="str">
        <f>""</f>
        <v/>
      </c>
      <c r="M1868" t="str">
        <f>"9287790774"</f>
        <v>9287790774</v>
      </c>
      <c r="N1868" t="str">
        <f>""</f>
        <v/>
      </c>
      <c r="O1868" t="s">
        <v>6558</v>
      </c>
      <c r="P1868" t="s">
        <v>6561</v>
      </c>
      <c r="R1868" t="s">
        <v>547</v>
      </c>
      <c r="S1868" t="s">
        <v>36</v>
      </c>
      <c r="T1868" t="str">
        <f>"86004"</f>
        <v>86004</v>
      </c>
      <c r="U1868" t="str">
        <f>""</f>
        <v/>
      </c>
      <c r="V1868" t="s">
        <v>6561</v>
      </c>
      <c r="X1868" t="s">
        <v>547</v>
      </c>
      <c r="Y1868" t="s">
        <v>36</v>
      </c>
      <c r="Z1868" t="str">
        <f>"86004"</f>
        <v>86004</v>
      </c>
      <c r="AA1868" t="str">
        <f>""</f>
        <v/>
      </c>
      <c r="AB1868" t="s">
        <v>2306</v>
      </c>
    </row>
    <row r="1869" spans="1:28" x14ac:dyDescent="0.25">
      <c r="A1869">
        <v>79871</v>
      </c>
      <c r="B1869" t="str">
        <f>"078946000"</f>
        <v>078946000</v>
      </c>
      <c r="C1869" t="s">
        <v>6562</v>
      </c>
      <c r="D1869">
        <v>0</v>
      </c>
      <c r="E1869" t="str">
        <f>""</f>
        <v/>
      </c>
      <c r="G1869" t="s">
        <v>29</v>
      </c>
      <c r="H1869" t="s">
        <v>3744</v>
      </c>
      <c r="I1869" t="s">
        <v>590</v>
      </c>
      <c r="J1869" t="s">
        <v>6166</v>
      </c>
      <c r="K1869" t="str">
        <f>"6029532933"</f>
        <v>6029532933</v>
      </c>
      <c r="L1869" t="str">
        <f>""</f>
        <v/>
      </c>
      <c r="M1869" t="str">
        <f>"6029530831"</f>
        <v>6029530831</v>
      </c>
      <c r="N1869" t="str">
        <f>""</f>
        <v/>
      </c>
      <c r="O1869" t="s">
        <v>3746</v>
      </c>
      <c r="P1869" t="s">
        <v>3747</v>
      </c>
      <c r="R1869" t="s">
        <v>964</v>
      </c>
      <c r="S1869" t="s">
        <v>36</v>
      </c>
      <c r="T1869" t="str">
        <f>"85020"</f>
        <v>85020</v>
      </c>
      <c r="U1869" t="str">
        <f>""</f>
        <v/>
      </c>
      <c r="V1869" t="s">
        <v>3747</v>
      </c>
      <c r="X1869" t="s">
        <v>964</v>
      </c>
      <c r="Y1869" t="s">
        <v>36</v>
      </c>
      <c r="Z1869" t="str">
        <f>"85020"</f>
        <v>85020</v>
      </c>
      <c r="AA1869" t="str">
        <f>""</f>
        <v/>
      </c>
      <c r="AB1869" t="s">
        <v>1466</v>
      </c>
    </row>
    <row r="1870" spans="1:28" x14ac:dyDescent="0.25">
      <c r="A1870">
        <v>79871</v>
      </c>
      <c r="B1870" t="str">
        <f>"078946000"</f>
        <v>078946000</v>
      </c>
      <c r="C1870" t="s">
        <v>6562</v>
      </c>
      <c r="D1870">
        <v>79177</v>
      </c>
      <c r="E1870" t="str">
        <f>"078946001"</f>
        <v>078946001</v>
      </c>
      <c r="F1870" t="s">
        <v>6563</v>
      </c>
      <c r="G1870" t="s">
        <v>42</v>
      </c>
      <c r="H1870" t="s">
        <v>6564</v>
      </c>
      <c r="I1870" t="s">
        <v>6565</v>
      </c>
      <c r="J1870" t="s">
        <v>301</v>
      </c>
      <c r="K1870" t="str">
        <f>"4809241500"</f>
        <v>4809241500</v>
      </c>
      <c r="L1870" t="str">
        <f>""</f>
        <v/>
      </c>
      <c r="M1870" t="str">
        <f>"4809240552"</f>
        <v>4809240552</v>
      </c>
      <c r="N1870" t="str">
        <f>""</f>
        <v/>
      </c>
      <c r="O1870" t="s">
        <v>6566</v>
      </c>
      <c r="P1870" t="s">
        <v>6567</v>
      </c>
      <c r="R1870" t="s">
        <v>979</v>
      </c>
      <c r="S1870" t="s">
        <v>36</v>
      </c>
      <c r="T1870" t="str">
        <f>"85213"</f>
        <v>85213</v>
      </c>
      <c r="U1870" t="str">
        <f>""</f>
        <v/>
      </c>
      <c r="V1870" t="s">
        <v>6567</v>
      </c>
      <c r="X1870" t="s">
        <v>979</v>
      </c>
      <c r="Y1870" t="s">
        <v>36</v>
      </c>
      <c r="Z1870" t="str">
        <f>"85213"</f>
        <v>85213</v>
      </c>
      <c r="AA1870" t="str">
        <f>""</f>
        <v/>
      </c>
      <c r="AB1870" t="s">
        <v>1466</v>
      </c>
    </row>
    <row r="1871" spans="1:28" x14ac:dyDescent="0.25">
      <c r="A1871">
        <v>79872</v>
      </c>
      <c r="B1871" t="str">
        <f>"078947000"</f>
        <v>078947000</v>
      </c>
      <c r="C1871" t="s">
        <v>6568</v>
      </c>
      <c r="D1871">
        <v>0</v>
      </c>
      <c r="E1871" t="str">
        <f>""</f>
        <v/>
      </c>
      <c r="G1871" t="s">
        <v>29</v>
      </c>
      <c r="H1871" t="s">
        <v>3744</v>
      </c>
      <c r="I1871" t="s">
        <v>590</v>
      </c>
      <c r="J1871" t="s">
        <v>6166</v>
      </c>
      <c r="K1871" t="str">
        <f>"6029532933"</f>
        <v>6029532933</v>
      </c>
      <c r="L1871" t="str">
        <f>""</f>
        <v/>
      </c>
      <c r="M1871" t="str">
        <f>"6029530831"</f>
        <v>6029530831</v>
      </c>
      <c r="N1871" t="str">
        <f>""</f>
        <v/>
      </c>
      <c r="O1871" t="s">
        <v>3746</v>
      </c>
      <c r="P1871" t="s">
        <v>6569</v>
      </c>
      <c r="R1871" t="s">
        <v>964</v>
      </c>
      <c r="S1871" t="s">
        <v>36</v>
      </c>
      <c r="T1871" t="str">
        <f>"85020"</f>
        <v>85020</v>
      </c>
      <c r="U1871" t="str">
        <f>""</f>
        <v/>
      </c>
      <c r="V1871" t="s">
        <v>6569</v>
      </c>
      <c r="X1871" t="s">
        <v>964</v>
      </c>
      <c r="Y1871" t="s">
        <v>36</v>
      </c>
      <c r="Z1871" t="str">
        <f>"85020"</f>
        <v>85020</v>
      </c>
      <c r="AA1871" t="str">
        <f>""</f>
        <v/>
      </c>
      <c r="AB1871" t="s">
        <v>1466</v>
      </c>
    </row>
    <row r="1872" spans="1:28" x14ac:dyDescent="0.25">
      <c r="A1872">
        <v>79872</v>
      </c>
      <c r="B1872" t="str">
        <f>"078947000"</f>
        <v>078947000</v>
      </c>
      <c r="C1872" t="s">
        <v>6568</v>
      </c>
      <c r="D1872">
        <v>78901</v>
      </c>
      <c r="E1872" t="str">
        <f>"078947001"</f>
        <v>078947001</v>
      </c>
      <c r="F1872" t="s">
        <v>6570</v>
      </c>
      <c r="G1872" t="s">
        <v>42</v>
      </c>
      <c r="H1872" t="s">
        <v>3031</v>
      </c>
      <c r="I1872" t="s">
        <v>6571</v>
      </c>
      <c r="J1872" t="s">
        <v>6572</v>
      </c>
      <c r="K1872" t="str">
        <f>"4808131151"</f>
        <v>4808131151</v>
      </c>
      <c r="L1872" t="str">
        <f>""</f>
        <v/>
      </c>
      <c r="M1872" t="str">
        <f>"4808131161"</f>
        <v>4808131161</v>
      </c>
      <c r="N1872" t="str">
        <f>""</f>
        <v/>
      </c>
      <c r="O1872" t="s">
        <v>6573</v>
      </c>
      <c r="P1872" t="s">
        <v>6574</v>
      </c>
      <c r="R1872" t="s">
        <v>1275</v>
      </c>
      <c r="S1872" t="s">
        <v>36</v>
      </c>
      <c r="T1872" t="str">
        <f>"85296"</f>
        <v>85296</v>
      </c>
      <c r="U1872" t="str">
        <f>""</f>
        <v/>
      </c>
      <c r="V1872" t="s">
        <v>6574</v>
      </c>
      <c r="X1872" t="s">
        <v>1275</v>
      </c>
      <c r="Y1872" t="s">
        <v>36</v>
      </c>
      <c r="Z1872" t="str">
        <f>"85296"</f>
        <v>85296</v>
      </c>
      <c r="AA1872" t="str">
        <f>""</f>
        <v/>
      </c>
      <c r="AB1872" t="s">
        <v>1466</v>
      </c>
    </row>
    <row r="1873" spans="1:28" x14ac:dyDescent="0.25">
      <c r="A1873">
        <v>79873</v>
      </c>
      <c r="B1873" t="str">
        <f>"078948000"</f>
        <v>078948000</v>
      </c>
      <c r="C1873" t="s">
        <v>6575</v>
      </c>
      <c r="D1873">
        <v>0</v>
      </c>
      <c r="E1873" t="str">
        <f>""</f>
        <v/>
      </c>
      <c r="G1873" t="s">
        <v>29</v>
      </c>
      <c r="H1873" t="s">
        <v>3744</v>
      </c>
      <c r="I1873" t="s">
        <v>590</v>
      </c>
      <c r="J1873" t="s">
        <v>3745</v>
      </c>
      <c r="K1873" t="str">
        <f>"6029532933"</f>
        <v>6029532933</v>
      </c>
      <c r="L1873" t="str">
        <f>""</f>
        <v/>
      </c>
      <c r="M1873" t="str">
        <f>""</f>
        <v/>
      </c>
      <c r="N1873" t="str">
        <f>""</f>
        <v/>
      </c>
      <c r="O1873" t="s">
        <v>3746</v>
      </c>
      <c r="P1873" t="s">
        <v>6576</v>
      </c>
      <c r="R1873" t="s">
        <v>964</v>
      </c>
      <c r="S1873" t="s">
        <v>36</v>
      </c>
      <c r="T1873" t="str">
        <f>"85020"</f>
        <v>85020</v>
      </c>
      <c r="U1873" t="str">
        <f>""</f>
        <v/>
      </c>
      <c r="V1873" t="s">
        <v>6577</v>
      </c>
      <c r="X1873" t="s">
        <v>2893</v>
      </c>
      <c r="Y1873" t="s">
        <v>36</v>
      </c>
      <c r="Z1873" t="str">
        <f>"85323"</f>
        <v>85323</v>
      </c>
      <c r="AA1873" t="str">
        <f>""</f>
        <v/>
      </c>
      <c r="AB1873" t="s">
        <v>1466</v>
      </c>
    </row>
    <row r="1874" spans="1:28" x14ac:dyDescent="0.25">
      <c r="A1874">
        <v>79873</v>
      </c>
      <c r="B1874" t="str">
        <f>"078948000"</f>
        <v>078948000</v>
      </c>
      <c r="C1874" t="s">
        <v>6575</v>
      </c>
      <c r="D1874">
        <v>78900</v>
      </c>
      <c r="E1874" t="str">
        <f>"078948001"</f>
        <v>078948001</v>
      </c>
      <c r="F1874" t="s">
        <v>6578</v>
      </c>
      <c r="G1874" t="s">
        <v>42</v>
      </c>
      <c r="H1874" t="s">
        <v>1808</v>
      </c>
      <c r="I1874" t="s">
        <v>110</v>
      </c>
      <c r="J1874" t="s">
        <v>301</v>
      </c>
      <c r="K1874" t="str">
        <f>"6239326561"</f>
        <v>6239326561</v>
      </c>
      <c r="L1874" t="str">
        <f>""</f>
        <v/>
      </c>
      <c r="M1874" t="str">
        <f>"6239321263"</f>
        <v>6239321263</v>
      </c>
      <c r="N1874" t="str">
        <f>""</f>
        <v/>
      </c>
      <c r="O1874" t="s">
        <v>6579</v>
      </c>
      <c r="P1874" t="s">
        <v>6580</v>
      </c>
      <c r="R1874" t="s">
        <v>2893</v>
      </c>
      <c r="S1874" t="s">
        <v>36</v>
      </c>
      <c r="T1874" t="str">
        <f>"85323"</f>
        <v>85323</v>
      </c>
      <c r="U1874" t="str">
        <f>""</f>
        <v/>
      </c>
      <c r="V1874" t="s">
        <v>6580</v>
      </c>
      <c r="X1874" t="s">
        <v>2893</v>
      </c>
      <c r="Y1874" t="s">
        <v>36</v>
      </c>
      <c r="Z1874" t="str">
        <f>"85323"</f>
        <v>85323</v>
      </c>
      <c r="AA1874" t="str">
        <f>""</f>
        <v/>
      </c>
      <c r="AB1874" t="s">
        <v>1466</v>
      </c>
    </row>
    <row r="1875" spans="1:28" x14ac:dyDescent="0.25">
      <c r="A1875">
        <v>79874</v>
      </c>
      <c r="B1875" t="str">
        <f>"078950000"</f>
        <v>078950000</v>
      </c>
      <c r="C1875" t="s">
        <v>6581</v>
      </c>
      <c r="D1875">
        <v>0</v>
      </c>
      <c r="E1875" t="str">
        <f>""</f>
        <v/>
      </c>
      <c r="G1875" t="s">
        <v>29</v>
      </c>
      <c r="H1875" t="s">
        <v>3744</v>
      </c>
      <c r="I1875" t="s">
        <v>590</v>
      </c>
      <c r="J1875" t="s">
        <v>3745</v>
      </c>
      <c r="K1875" t="str">
        <f>"6029532933"</f>
        <v>6029532933</v>
      </c>
      <c r="L1875" t="str">
        <f>""</f>
        <v/>
      </c>
      <c r="M1875" t="str">
        <f>""</f>
        <v/>
      </c>
      <c r="N1875" t="str">
        <f>""</f>
        <v/>
      </c>
      <c r="O1875" t="s">
        <v>3746</v>
      </c>
      <c r="P1875" t="s">
        <v>3747</v>
      </c>
      <c r="R1875" t="s">
        <v>964</v>
      </c>
      <c r="S1875" t="s">
        <v>36</v>
      </c>
      <c r="T1875" t="str">
        <f>"85020"</f>
        <v>85020</v>
      </c>
      <c r="U1875" t="str">
        <f>""</f>
        <v/>
      </c>
      <c r="V1875" t="s">
        <v>3747</v>
      </c>
      <c r="X1875" t="s">
        <v>964</v>
      </c>
      <c r="Y1875" t="s">
        <v>36</v>
      </c>
      <c r="Z1875" t="str">
        <f>"85020"</f>
        <v>85020</v>
      </c>
      <c r="AA1875" t="str">
        <f>""</f>
        <v/>
      </c>
      <c r="AB1875" t="s">
        <v>1466</v>
      </c>
    </row>
    <row r="1876" spans="1:28" x14ac:dyDescent="0.25">
      <c r="A1876">
        <v>79874</v>
      </c>
      <c r="B1876" t="str">
        <f>"078950000"</f>
        <v>078950000</v>
      </c>
      <c r="C1876" t="s">
        <v>6581</v>
      </c>
      <c r="D1876">
        <v>78813</v>
      </c>
      <c r="E1876" t="str">
        <f>"078950001"</f>
        <v>078950001</v>
      </c>
      <c r="F1876" t="s">
        <v>6582</v>
      </c>
      <c r="G1876" t="s">
        <v>42</v>
      </c>
      <c r="H1876" t="s">
        <v>1332</v>
      </c>
      <c r="I1876" t="s">
        <v>6583</v>
      </c>
      <c r="J1876" t="s">
        <v>6572</v>
      </c>
      <c r="K1876" t="str">
        <f>"6027658470"</f>
        <v>6027658470</v>
      </c>
      <c r="L1876" t="str">
        <f>""</f>
        <v/>
      </c>
      <c r="M1876" t="str">
        <f>"6027658471"</f>
        <v>6027658471</v>
      </c>
      <c r="N1876" t="str">
        <f>""</f>
        <v/>
      </c>
      <c r="O1876" t="s">
        <v>6584</v>
      </c>
      <c r="P1876" t="s">
        <v>6585</v>
      </c>
      <c r="R1876" t="s">
        <v>964</v>
      </c>
      <c r="S1876" t="s">
        <v>36</v>
      </c>
      <c r="T1876" t="str">
        <f>"85032"</f>
        <v>85032</v>
      </c>
      <c r="U1876" t="str">
        <f>""</f>
        <v/>
      </c>
      <c r="V1876" t="s">
        <v>6585</v>
      </c>
      <c r="X1876" t="s">
        <v>964</v>
      </c>
      <c r="Y1876" t="s">
        <v>36</v>
      </c>
      <c r="Z1876" t="str">
        <f>"85032"</f>
        <v>85032</v>
      </c>
      <c r="AA1876" t="str">
        <f>""</f>
        <v/>
      </c>
      <c r="AB1876" t="s">
        <v>1466</v>
      </c>
    </row>
    <row r="1877" spans="1:28" x14ac:dyDescent="0.25">
      <c r="A1877">
        <v>79875</v>
      </c>
      <c r="B1877" t="str">
        <f>"078951000"</f>
        <v>078951000</v>
      </c>
      <c r="C1877" t="s">
        <v>6586</v>
      </c>
      <c r="D1877">
        <v>0</v>
      </c>
      <c r="E1877" t="str">
        <f>""</f>
        <v/>
      </c>
      <c r="G1877" t="s">
        <v>29</v>
      </c>
      <c r="H1877" t="s">
        <v>3744</v>
      </c>
      <c r="I1877" t="s">
        <v>590</v>
      </c>
      <c r="J1877" t="s">
        <v>6166</v>
      </c>
      <c r="K1877" t="str">
        <f>"6029532933"</f>
        <v>6029532933</v>
      </c>
      <c r="L1877" t="str">
        <f>""</f>
        <v/>
      </c>
      <c r="M1877" t="str">
        <f>"6029530831"</f>
        <v>6029530831</v>
      </c>
      <c r="N1877" t="str">
        <f>""</f>
        <v/>
      </c>
      <c r="O1877" t="s">
        <v>3746</v>
      </c>
      <c r="P1877" t="s">
        <v>6587</v>
      </c>
      <c r="R1877" t="s">
        <v>964</v>
      </c>
      <c r="S1877" t="s">
        <v>36</v>
      </c>
      <c r="T1877" t="str">
        <f>"85020"</f>
        <v>85020</v>
      </c>
      <c r="U1877" t="str">
        <f>""</f>
        <v/>
      </c>
      <c r="V1877" t="s">
        <v>6587</v>
      </c>
      <c r="X1877" t="s">
        <v>964</v>
      </c>
      <c r="Y1877" t="s">
        <v>36</v>
      </c>
      <c r="Z1877" t="str">
        <f>"85020"</f>
        <v>85020</v>
      </c>
      <c r="AA1877" t="str">
        <f>""</f>
        <v/>
      </c>
      <c r="AB1877" t="s">
        <v>1466</v>
      </c>
    </row>
    <row r="1878" spans="1:28" x14ac:dyDescent="0.25">
      <c r="A1878">
        <v>79875</v>
      </c>
      <c r="B1878" t="str">
        <f>"078951000"</f>
        <v>078951000</v>
      </c>
      <c r="C1878" t="s">
        <v>6586</v>
      </c>
      <c r="D1878">
        <v>78817</v>
      </c>
      <c r="E1878" t="str">
        <f>"078951001"</f>
        <v>078951001</v>
      </c>
      <c r="F1878" t="s">
        <v>6588</v>
      </c>
      <c r="G1878" t="s">
        <v>42</v>
      </c>
      <c r="H1878" t="s">
        <v>2664</v>
      </c>
      <c r="I1878" t="s">
        <v>2435</v>
      </c>
      <c r="J1878" t="s">
        <v>301</v>
      </c>
      <c r="K1878" t="str">
        <f>"6239790031"</f>
        <v>6239790031</v>
      </c>
      <c r="L1878" t="str">
        <f>""</f>
        <v/>
      </c>
      <c r="M1878" t="str">
        <f>"6239790113"</f>
        <v>6239790113</v>
      </c>
      <c r="N1878" t="str">
        <f>""</f>
        <v/>
      </c>
      <c r="O1878" t="s">
        <v>6589</v>
      </c>
      <c r="P1878" t="s">
        <v>6590</v>
      </c>
      <c r="R1878" t="s">
        <v>1165</v>
      </c>
      <c r="S1878" t="s">
        <v>36</v>
      </c>
      <c r="T1878" t="str">
        <f>"85345"</f>
        <v>85345</v>
      </c>
      <c r="U1878" t="str">
        <f>""</f>
        <v/>
      </c>
      <c r="V1878" t="s">
        <v>6590</v>
      </c>
      <c r="X1878" t="s">
        <v>1165</v>
      </c>
      <c r="Y1878" t="s">
        <v>36</v>
      </c>
      <c r="Z1878" t="str">
        <f>"85345"</f>
        <v>85345</v>
      </c>
      <c r="AA1878" t="str">
        <f>""</f>
        <v/>
      </c>
      <c r="AB1878" t="s">
        <v>1466</v>
      </c>
    </row>
    <row r="1879" spans="1:28" x14ac:dyDescent="0.25">
      <c r="A1879">
        <v>79876</v>
      </c>
      <c r="B1879" t="str">
        <f>"078952000"</f>
        <v>078952000</v>
      </c>
      <c r="C1879" t="s">
        <v>6591</v>
      </c>
      <c r="D1879">
        <v>0</v>
      </c>
      <c r="E1879" t="str">
        <f>""</f>
        <v/>
      </c>
      <c r="G1879" t="s">
        <v>29</v>
      </c>
      <c r="H1879" t="s">
        <v>3744</v>
      </c>
      <c r="I1879" t="s">
        <v>590</v>
      </c>
      <c r="J1879" t="s">
        <v>6166</v>
      </c>
      <c r="K1879" t="str">
        <f>"6029532933"</f>
        <v>6029532933</v>
      </c>
      <c r="L1879" t="str">
        <f>""</f>
        <v/>
      </c>
      <c r="M1879" t="str">
        <f>"6029530831"</f>
        <v>6029530831</v>
      </c>
      <c r="N1879" t="str">
        <f>""</f>
        <v/>
      </c>
      <c r="O1879" t="s">
        <v>3746</v>
      </c>
      <c r="P1879" t="s">
        <v>3747</v>
      </c>
      <c r="R1879" t="s">
        <v>964</v>
      </c>
      <c r="S1879" t="s">
        <v>36</v>
      </c>
      <c r="T1879" t="str">
        <f>"85020"</f>
        <v>85020</v>
      </c>
      <c r="U1879" t="str">
        <f>""</f>
        <v/>
      </c>
      <c r="V1879" t="s">
        <v>3747</v>
      </c>
      <c r="X1879" t="s">
        <v>964</v>
      </c>
      <c r="Y1879" t="s">
        <v>36</v>
      </c>
      <c r="Z1879" t="str">
        <f>"85020"</f>
        <v>85020</v>
      </c>
      <c r="AA1879" t="str">
        <f>""</f>
        <v/>
      </c>
      <c r="AB1879" t="s">
        <v>1466</v>
      </c>
    </row>
    <row r="1880" spans="1:28" x14ac:dyDescent="0.25">
      <c r="A1880">
        <v>79876</v>
      </c>
      <c r="B1880" t="str">
        <f>"078952000"</f>
        <v>078952000</v>
      </c>
      <c r="C1880" t="s">
        <v>6591</v>
      </c>
      <c r="D1880">
        <v>10749</v>
      </c>
      <c r="E1880" t="str">
        <f>"078952001"</f>
        <v>078952001</v>
      </c>
      <c r="F1880" t="s">
        <v>6591</v>
      </c>
      <c r="G1880" t="s">
        <v>42</v>
      </c>
      <c r="H1880" t="s">
        <v>829</v>
      </c>
      <c r="I1880" t="s">
        <v>3679</v>
      </c>
      <c r="J1880" t="s">
        <v>301</v>
      </c>
      <c r="K1880" t="str">
        <f>"6022588959"</f>
        <v>6022588959</v>
      </c>
      <c r="L1880" t="str">
        <f>""</f>
        <v/>
      </c>
      <c r="M1880" t="str">
        <f>"6022588953"</f>
        <v>6022588953</v>
      </c>
      <c r="N1880" t="str">
        <f>""</f>
        <v/>
      </c>
      <c r="O1880" t="s">
        <v>6592</v>
      </c>
      <c r="P1880" t="s">
        <v>6593</v>
      </c>
      <c r="R1880" t="s">
        <v>964</v>
      </c>
      <c r="S1880" t="s">
        <v>36</v>
      </c>
      <c r="T1880" t="str">
        <f>"85006"</f>
        <v>85006</v>
      </c>
      <c r="U1880" t="str">
        <f>""</f>
        <v/>
      </c>
      <c r="V1880" t="s">
        <v>6593</v>
      </c>
      <c r="X1880" t="s">
        <v>964</v>
      </c>
      <c r="Y1880" t="s">
        <v>36</v>
      </c>
      <c r="Z1880" t="str">
        <f>"85006"</f>
        <v>85006</v>
      </c>
      <c r="AA1880" t="str">
        <f>""</f>
        <v/>
      </c>
      <c r="AB1880" t="s">
        <v>1466</v>
      </c>
    </row>
    <row r="1881" spans="1:28" x14ac:dyDescent="0.25">
      <c r="A1881">
        <v>79877</v>
      </c>
      <c r="B1881" t="str">
        <f>"078953000"</f>
        <v>078953000</v>
      </c>
      <c r="C1881" t="s">
        <v>6594</v>
      </c>
      <c r="D1881">
        <v>0</v>
      </c>
      <c r="E1881" t="str">
        <f>""</f>
        <v/>
      </c>
      <c r="G1881" t="s">
        <v>29</v>
      </c>
      <c r="H1881" t="s">
        <v>3744</v>
      </c>
      <c r="I1881" t="s">
        <v>590</v>
      </c>
      <c r="J1881" t="s">
        <v>3745</v>
      </c>
      <c r="K1881" t="str">
        <f>"6029532933"</f>
        <v>6029532933</v>
      </c>
      <c r="L1881" t="str">
        <f>""</f>
        <v/>
      </c>
      <c r="M1881" t="str">
        <f>""</f>
        <v/>
      </c>
      <c r="N1881" t="str">
        <f>""</f>
        <v/>
      </c>
      <c r="O1881" t="s">
        <v>3746</v>
      </c>
      <c r="P1881" t="s">
        <v>6595</v>
      </c>
      <c r="R1881" t="s">
        <v>964</v>
      </c>
      <c r="S1881" t="s">
        <v>36</v>
      </c>
      <c r="T1881" t="str">
        <f>"85020"</f>
        <v>85020</v>
      </c>
      <c r="U1881" t="str">
        <f>""</f>
        <v/>
      </c>
      <c r="V1881" t="s">
        <v>3747</v>
      </c>
      <c r="X1881" t="s">
        <v>964</v>
      </c>
      <c r="Y1881" t="s">
        <v>36</v>
      </c>
      <c r="Z1881" t="str">
        <f>"85020"</f>
        <v>85020</v>
      </c>
      <c r="AA1881" t="str">
        <f>""</f>
        <v/>
      </c>
      <c r="AB1881" t="s">
        <v>1466</v>
      </c>
    </row>
    <row r="1882" spans="1:28" x14ac:dyDescent="0.25">
      <c r="A1882">
        <v>79877</v>
      </c>
      <c r="B1882" t="str">
        <f>"078953000"</f>
        <v>078953000</v>
      </c>
      <c r="C1882" t="s">
        <v>6594</v>
      </c>
      <c r="D1882">
        <v>6347</v>
      </c>
      <c r="E1882" t="str">
        <f>"078953001"</f>
        <v>078953001</v>
      </c>
      <c r="F1882" t="s">
        <v>6596</v>
      </c>
      <c r="G1882" t="s">
        <v>42</v>
      </c>
      <c r="H1882" t="s">
        <v>6597</v>
      </c>
      <c r="I1882" t="s">
        <v>6598</v>
      </c>
      <c r="J1882" t="s">
        <v>5137</v>
      </c>
      <c r="K1882" t="str">
        <f>"4804974800"</f>
        <v>4804974800</v>
      </c>
      <c r="L1882" t="str">
        <f>""</f>
        <v/>
      </c>
      <c r="M1882" t="str">
        <f>"4804971314"</f>
        <v>4804971314</v>
      </c>
      <c r="N1882" t="str">
        <f>""</f>
        <v/>
      </c>
      <c r="O1882" t="s">
        <v>6599</v>
      </c>
      <c r="P1882" t="s">
        <v>6600</v>
      </c>
      <c r="R1882" t="s">
        <v>979</v>
      </c>
      <c r="S1882" t="s">
        <v>36</v>
      </c>
      <c r="T1882" t="str">
        <f>"85204"</f>
        <v>85204</v>
      </c>
      <c r="U1882" t="str">
        <f>""</f>
        <v/>
      </c>
      <c r="V1882" t="s">
        <v>6600</v>
      </c>
      <c r="X1882" t="s">
        <v>979</v>
      </c>
      <c r="Y1882" t="s">
        <v>36</v>
      </c>
      <c r="Z1882" t="str">
        <f>"85204"</f>
        <v>85204</v>
      </c>
      <c r="AA1882" t="str">
        <f>""</f>
        <v/>
      </c>
      <c r="AB1882" t="s">
        <v>1466</v>
      </c>
    </row>
    <row r="1883" spans="1:28" x14ac:dyDescent="0.25">
      <c r="A1883">
        <v>79878</v>
      </c>
      <c r="B1883" t="str">
        <f>"078954000"</f>
        <v>078954000</v>
      </c>
      <c r="C1883" t="s">
        <v>6601</v>
      </c>
      <c r="D1883">
        <v>0</v>
      </c>
      <c r="E1883" t="str">
        <f>""</f>
        <v/>
      </c>
      <c r="G1883" t="s">
        <v>29</v>
      </c>
      <c r="H1883" t="s">
        <v>3744</v>
      </c>
      <c r="I1883" t="s">
        <v>590</v>
      </c>
      <c r="J1883" t="s">
        <v>3745</v>
      </c>
      <c r="K1883" t="str">
        <f>"6029532933"</f>
        <v>6029532933</v>
      </c>
      <c r="L1883" t="str">
        <f>""</f>
        <v/>
      </c>
      <c r="M1883" t="str">
        <f>""</f>
        <v/>
      </c>
      <c r="N1883" t="str">
        <f>""</f>
        <v/>
      </c>
      <c r="O1883" t="s">
        <v>3746</v>
      </c>
      <c r="P1883" t="s">
        <v>3747</v>
      </c>
      <c r="R1883" t="s">
        <v>964</v>
      </c>
      <c r="S1883" t="s">
        <v>36</v>
      </c>
      <c r="T1883" t="str">
        <f>"85020"</f>
        <v>85020</v>
      </c>
      <c r="U1883" t="str">
        <f>""</f>
        <v/>
      </c>
      <c r="V1883" t="s">
        <v>3747</v>
      </c>
      <c r="X1883" t="s">
        <v>964</v>
      </c>
      <c r="Y1883" t="s">
        <v>36</v>
      </c>
      <c r="Z1883" t="str">
        <f>"85020"</f>
        <v>85020</v>
      </c>
      <c r="AA1883" t="str">
        <f>""</f>
        <v/>
      </c>
      <c r="AB1883" t="s">
        <v>1466</v>
      </c>
    </row>
    <row r="1884" spans="1:28" x14ac:dyDescent="0.25">
      <c r="A1884">
        <v>79878</v>
      </c>
      <c r="B1884" t="str">
        <f>"078954000"</f>
        <v>078954000</v>
      </c>
      <c r="C1884" t="s">
        <v>6601</v>
      </c>
      <c r="D1884">
        <v>6349</v>
      </c>
      <c r="E1884" t="str">
        <f>"078954001"</f>
        <v>078954001</v>
      </c>
      <c r="F1884" t="s">
        <v>6602</v>
      </c>
      <c r="G1884" t="s">
        <v>42</v>
      </c>
      <c r="H1884" t="s">
        <v>6603</v>
      </c>
      <c r="I1884" t="s">
        <v>6604</v>
      </c>
      <c r="J1884" t="s">
        <v>301</v>
      </c>
      <c r="K1884" t="str">
        <f>"6022438496"</f>
        <v>6022438496</v>
      </c>
      <c r="L1884" t="str">
        <f>""</f>
        <v/>
      </c>
      <c r="M1884" t="str">
        <f>""</f>
        <v/>
      </c>
      <c r="N1884" t="str">
        <f>""</f>
        <v/>
      </c>
      <c r="O1884" t="s">
        <v>6605</v>
      </c>
      <c r="P1884" t="s">
        <v>6606</v>
      </c>
      <c r="R1884" t="s">
        <v>964</v>
      </c>
      <c r="S1884" t="s">
        <v>36</v>
      </c>
      <c r="T1884" t="str">
        <f>"85042"</f>
        <v>85042</v>
      </c>
      <c r="U1884" t="str">
        <f>""</f>
        <v/>
      </c>
      <c r="V1884" t="s">
        <v>6606</v>
      </c>
      <c r="X1884" t="s">
        <v>964</v>
      </c>
      <c r="Y1884" t="s">
        <v>36</v>
      </c>
      <c r="Z1884" t="str">
        <f>"85042"</f>
        <v>85042</v>
      </c>
      <c r="AA1884" t="str">
        <f>""</f>
        <v/>
      </c>
      <c r="AB1884" t="s">
        <v>1466</v>
      </c>
    </row>
    <row r="1885" spans="1:28" x14ac:dyDescent="0.25">
      <c r="A1885">
        <v>79879</v>
      </c>
      <c r="B1885" t="str">
        <f>"078956000"</f>
        <v>078956000</v>
      </c>
      <c r="C1885" t="s">
        <v>6607</v>
      </c>
      <c r="D1885">
        <v>0</v>
      </c>
      <c r="E1885" t="str">
        <f>""</f>
        <v/>
      </c>
      <c r="G1885" t="s">
        <v>29</v>
      </c>
      <c r="H1885" t="s">
        <v>3744</v>
      </c>
      <c r="I1885" t="s">
        <v>590</v>
      </c>
      <c r="J1885" t="s">
        <v>3745</v>
      </c>
      <c r="K1885" t="str">
        <f>"6029532933"</f>
        <v>6029532933</v>
      </c>
      <c r="L1885" t="str">
        <f>""</f>
        <v/>
      </c>
      <c r="M1885" t="str">
        <f>""</f>
        <v/>
      </c>
      <c r="N1885" t="str">
        <f>""</f>
        <v/>
      </c>
      <c r="O1885" t="s">
        <v>3746</v>
      </c>
      <c r="P1885" t="s">
        <v>3747</v>
      </c>
      <c r="R1885" t="s">
        <v>964</v>
      </c>
      <c r="S1885" t="s">
        <v>36</v>
      </c>
      <c r="T1885" t="str">
        <f>"85020"</f>
        <v>85020</v>
      </c>
      <c r="U1885" t="str">
        <f>""</f>
        <v/>
      </c>
      <c r="V1885" t="s">
        <v>3747</v>
      </c>
      <c r="X1885" t="s">
        <v>964</v>
      </c>
      <c r="Y1885" t="s">
        <v>36</v>
      </c>
      <c r="Z1885" t="str">
        <f>"85020"</f>
        <v>85020</v>
      </c>
      <c r="AA1885" t="str">
        <f>""</f>
        <v/>
      </c>
      <c r="AB1885" t="s">
        <v>1466</v>
      </c>
    </row>
    <row r="1886" spans="1:28" x14ac:dyDescent="0.25">
      <c r="A1886">
        <v>79879</v>
      </c>
      <c r="B1886" t="str">
        <f>"078956000"</f>
        <v>078956000</v>
      </c>
      <c r="C1886" t="s">
        <v>6607</v>
      </c>
      <c r="D1886">
        <v>6348</v>
      </c>
      <c r="E1886" t="str">
        <f>"078956001"</f>
        <v>078956001</v>
      </c>
      <c r="F1886" t="s">
        <v>6608</v>
      </c>
      <c r="G1886" t="s">
        <v>42</v>
      </c>
      <c r="H1886" t="s">
        <v>1688</v>
      </c>
      <c r="I1886" t="s">
        <v>6609</v>
      </c>
      <c r="J1886" t="s">
        <v>301</v>
      </c>
      <c r="K1886" t="str">
        <f>"6022691110"</f>
        <v>6022691110</v>
      </c>
      <c r="L1886" t="str">
        <f>""</f>
        <v/>
      </c>
      <c r="M1886" t="str">
        <f>"6022691112"</f>
        <v>6022691112</v>
      </c>
      <c r="N1886" t="str">
        <f>""</f>
        <v/>
      </c>
      <c r="O1886" t="s">
        <v>6610</v>
      </c>
      <c r="P1886" t="s">
        <v>6611</v>
      </c>
      <c r="R1886" t="s">
        <v>964</v>
      </c>
      <c r="S1886" t="s">
        <v>36</v>
      </c>
      <c r="T1886" t="str">
        <f>"85019"</f>
        <v>85019</v>
      </c>
      <c r="U1886" t="str">
        <f>""</f>
        <v/>
      </c>
      <c r="V1886" t="s">
        <v>6611</v>
      </c>
      <c r="X1886" t="s">
        <v>964</v>
      </c>
      <c r="Y1886" t="s">
        <v>36</v>
      </c>
      <c r="Z1886" t="str">
        <f>"85019"</f>
        <v>85019</v>
      </c>
      <c r="AA1886" t="str">
        <f>""</f>
        <v/>
      </c>
      <c r="AB1886" t="s">
        <v>1466</v>
      </c>
    </row>
    <row r="1887" spans="1:28" x14ac:dyDescent="0.25">
      <c r="A1887">
        <v>79880</v>
      </c>
      <c r="B1887" t="str">
        <f>"108706000"</f>
        <v>108706000</v>
      </c>
      <c r="C1887" t="s">
        <v>6612</v>
      </c>
      <c r="D1887">
        <v>0</v>
      </c>
      <c r="E1887" t="str">
        <f>""</f>
        <v/>
      </c>
      <c r="G1887" t="s">
        <v>29</v>
      </c>
      <c r="H1887" t="s">
        <v>3744</v>
      </c>
      <c r="I1887" t="s">
        <v>590</v>
      </c>
      <c r="J1887" t="s">
        <v>3745</v>
      </c>
      <c r="K1887" t="str">
        <f>"6029532933"</f>
        <v>6029532933</v>
      </c>
      <c r="L1887" t="str">
        <f>""</f>
        <v/>
      </c>
      <c r="M1887" t="str">
        <f>""</f>
        <v/>
      </c>
      <c r="N1887" t="str">
        <f>""</f>
        <v/>
      </c>
      <c r="O1887" t="s">
        <v>3746</v>
      </c>
      <c r="P1887" t="s">
        <v>3747</v>
      </c>
      <c r="R1887" t="s">
        <v>964</v>
      </c>
      <c r="S1887" t="s">
        <v>36</v>
      </c>
      <c r="T1887" t="str">
        <f>"85020"</f>
        <v>85020</v>
      </c>
      <c r="U1887" t="str">
        <f>""</f>
        <v/>
      </c>
      <c r="V1887" t="s">
        <v>3747</v>
      </c>
      <c r="X1887" t="s">
        <v>964</v>
      </c>
      <c r="Y1887" t="s">
        <v>36</v>
      </c>
      <c r="Z1887" t="str">
        <f>"85020"</f>
        <v>85020</v>
      </c>
      <c r="AA1887" t="str">
        <f>""</f>
        <v/>
      </c>
      <c r="AB1887" t="s">
        <v>1466</v>
      </c>
    </row>
    <row r="1888" spans="1:28" x14ac:dyDescent="0.25">
      <c r="A1888">
        <v>79880</v>
      </c>
      <c r="B1888" t="str">
        <f>"108706000"</f>
        <v>108706000</v>
      </c>
      <c r="C1888" t="s">
        <v>6612</v>
      </c>
      <c r="D1888">
        <v>6350</v>
      </c>
      <c r="E1888" t="str">
        <f>"108706001"</f>
        <v>108706001</v>
      </c>
      <c r="F1888" t="s">
        <v>6613</v>
      </c>
      <c r="G1888" t="s">
        <v>42</v>
      </c>
      <c r="H1888" t="s">
        <v>6614</v>
      </c>
      <c r="I1888" t="s">
        <v>6615</v>
      </c>
      <c r="J1888" t="s">
        <v>301</v>
      </c>
      <c r="K1888" t="str">
        <f>"6233866799"</f>
        <v>6233866799</v>
      </c>
      <c r="L1888" t="str">
        <f>""</f>
        <v/>
      </c>
      <c r="M1888" t="str">
        <f>""</f>
        <v/>
      </c>
      <c r="N1888" t="str">
        <f>""</f>
        <v/>
      </c>
      <c r="O1888" t="s">
        <v>6616</v>
      </c>
      <c r="P1888" t="s">
        <v>6617</v>
      </c>
      <c r="R1888" t="s">
        <v>1158</v>
      </c>
      <c r="S1888" t="s">
        <v>36</v>
      </c>
      <c r="T1888" t="str">
        <f>"85326"</f>
        <v>85326</v>
      </c>
      <c r="U1888" t="str">
        <f>""</f>
        <v/>
      </c>
      <c r="V1888" t="s">
        <v>6617</v>
      </c>
      <c r="X1888" t="s">
        <v>1158</v>
      </c>
      <c r="Y1888" t="s">
        <v>36</v>
      </c>
      <c r="Z1888" t="str">
        <f>"85326"</f>
        <v>85326</v>
      </c>
      <c r="AA1888" t="str">
        <f>""</f>
        <v/>
      </c>
      <c r="AB1888" t="s">
        <v>1466</v>
      </c>
    </row>
    <row r="1889" spans="1:28" x14ac:dyDescent="0.25">
      <c r="A1889">
        <v>79881</v>
      </c>
      <c r="B1889" t="str">
        <f>"108707000"</f>
        <v>108707000</v>
      </c>
      <c r="C1889" t="s">
        <v>6618</v>
      </c>
      <c r="D1889">
        <v>0</v>
      </c>
      <c r="E1889" t="str">
        <f>""</f>
        <v/>
      </c>
      <c r="G1889" t="s">
        <v>29</v>
      </c>
      <c r="H1889" t="s">
        <v>6619</v>
      </c>
      <c r="I1889" t="s">
        <v>6620</v>
      </c>
      <c r="J1889" t="s">
        <v>710</v>
      </c>
      <c r="K1889" t="str">
        <f>"5206241023"</f>
        <v>5206241023</v>
      </c>
      <c r="L1889" t="str">
        <f>""</f>
        <v/>
      </c>
      <c r="M1889" t="str">
        <f>"5206247999"</f>
        <v>5206247999</v>
      </c>
      <c r="N1889" t="str">
        <f>""</f>
        <v/>
      </c>
      <c r="O1889" t="s">
        <v>6621</v>
      </c>
      <c r="P1889" t="s">
        <v>6622</v>
      </c>
      <c r="R1889" t="s">
        <v>4169</v>
      </c>
      <c r="S1889" t="s">
        <v>36</v>
      </c>
      <c r="T1889" t="str">
        <f>"85745"</f>
        <v>85745</v>
      </c>
      <c r="U1889" t="str">
        <f>""</f>
        <v/>
      </c>
      <c r="V1889" t="s">
        <v>6622</v>
      </c>
      <c r="X1889" t="s">
        <v>4169</v>
      </c>
      <c r="Y1889" t="s">
        <v>36</v>
      </c>
      <c r="Z1889" t="str">
        <f>"85745"</f>
        <v>85745</v>
      </c>
      <c r="AA1889" t="str">
        <f>""</f>
        <v/>
      </c>
      <c r="AB1889" t="s">
        <v>508</v>
      </c>
    </row>
    <row r="1890" spans="1:28" x14ac:dyDescent="0.25">
      <c r="A1890">
        <v>79881</v>
      </c>
      <c r="B1890" t="str">
        <f>"108707000"</f>
        <v>108707000</v>
      </c>
      <c r="C1890" t="s">
        <v>6618</v>
      </c>
      <c r="D1890">
        <v>79899</v>
      </c>
      <c r="E1890" t="str">
        <f>"108707001"</f>
        <v>108707001</v>
      </c>
      <c r="F1890" t="s">
        <v>6623</v>
      </c>
      <c r="G1890" t="s">
        <v>42</v>
      </c>
      <c r="H1890" t="s">
        <v>6619</v>
      </c>
      <c r="I1890" t="s">
        <v>6620</v>
      </c>
      <c r="J1890" t="s">
        <v>6624</v>
      </c>
      <c r="K1890" t="str">
        <f>"5206241023"</f>
        <v>5206241023</v>
      </c>
      <c r="L1890" t="str">
        <f>""</f>
        <v/>
      </c>
      <c r="M1890" t="str">
        <f>"5206247999"</f>
        <v>5206247999</v>
      </c>
      <c r="N1890" t="str">
        <f>""</f>
        <v/>
      </c>
      <c r="O1890" t="s">
        <v>6625</v>
      </c>
      <c r="P1890" t="s">
        <v>6626</v>
      </c>
      <c r="R1890" t="s">
        <v>4169</v>
      </c>
      <c r="S1890" t="s">
        <v>36</v>
      </c>
      <c r="T1890" t="str">
        <f>"85745"</f>
        <v>85745</v>
      </c>
      <c r="U1890" t="str">
        <f>""</f>
        <v/>
      </c>
      <c r="V1890" t="s">
        <v>6626</v>
      </c>
      <c r="X1890" t="s">
        <v>4169</v>
      </c>
      <c r="Y1890" t="s">
        <v>36</v>
      </c>
      <c r="Z1890" t="str">
        <f>"85745"</f>
        <v>85745</v>
      </c>
      <c r="AA1890" t="str">
        <f>""</f>
        <v/>
      </c>
      <c r="AB1890" t="s">
        <v>508</v>
      </c>
    </row>
    <row r="1891" spans="1:28" x14ac:dyDescent="0.25">
      <c r="A1891">
        <v>79882</v>
      </c>
      <c r="B1891" t="str">
        <f>"078949000"</f>
        <v>078949000</v>
      </c>
      <c r="C1891" t="s">
        <v>6627</v>
      </c>
      <c r="D1891">
        <v>0</v>
      </c>
      <c r="E1891" t="str">
        <f>""</f>
        <v/>
      </c>
      <c r="G1891" t="s">
        <v>29</v>
      </c>
      <c r="H1891" t="s">
        <v>3744</v>
      </c>
      <c r="I1891" t="s">
        <v>590</v>
      </c>
      <c r="J1891" t="s">
        <v>3745</v>
      </c>
      <c r="K1891" t="str">
        <f>"6029532933"</f>
        <v>6029532933</v>
      </c>
      <c r="L1891" t="str">
        <f>""</f>
        <v/>
      </c>
      <c r="M1891" t="str">
        <f>""</f>
        <v/>
      </c>
      <c r="N1891" t="str">
        <f>""</f>
        <v/>
      </c>
      <c r="O1891" t="s">
        <v>3746</v>
      </c>
      <c r="P1891" t="s">
        <v>6595</v>
      </c>
      <c r="R1891" t="s">
        <v>964</v>
      </c>
      <c r="S1891" t="s">
        <v>36</v>
      </c>
      <c r="T1891" t="str">
        <f>"85020"</f>
        <v>85020</v>
      </c>
      <c r="U1891" t="str">
        <f>""</f>
        <v/>
      </c>
      <c r="V1891" t="s">
        <v>6595</v>
      </c>
      <c r="X1891" t="s">
        <v>964</v>
      </c>
      <c r="Y1891" t="s">
        <v>36</v>
      </c>
      <c r="Z1891" t="str">
        <f>"85020"</f>
        <v>85020</v>
      </c>
      <c r="AA1891" t="str">
        <f>""</f>
        <v/>
      </c>
      <c r="AB1891" t="s">
        <v>1466</v>
      </c>
    </row>
    <row r="1892" spans="1:28" x14ac:dyDescent="0.25">
      <c r="A1892">
        <v>79882</v>
      </c>
      <c r="B1892" t="str">
        <f>"078949000"</f>
        <v>078949000</v>
      </c>
      <c r="C1892" t="s">
        <v>6627</v>
      </c>
      <c r="D1892">
        <v>10748</v>
      </c>
      <c r="E1892" t="str">
        <f>"078949001"</f>
        <v>078949001</v>
      </c>
      <c r="F1892" t="s">
        <v>6627</v>
      </c>
      <c r="G1892" t="s">
        <v>42</v>
      </c>
      <c r="H1892" t="s">
        <v>3267</v>
      </c>
      <c r="I1892" t="s">
        <v>1578</v>
      </c>
      <c r="J1892" t="s">
        <v>301</v>
      </c>
      <c r="K1892" t="str">
        <f>"6022423442"</f>
        <v>6022423442</v>
      </c>
      <c r="L1892" t="str">
        <f>""</f>
        <v/>
      </c>
      <c r="M1892" t="str">
        <f>"6022425255"</f>
        <v>6022425255</v>
      </c>
      <c r="N1892" t="str">
        <f>""</f>
        <v/>
      </c>
      <c r="O1892" t="s">
        <v>6628</v>
      </c>
      <c r="P1892" t="s">
        <v>6629</v>
      </c>
      <c r="R1892" t="s">
        <v>964</v>
      </c>
      <c r="S1892" t="s">
        <v>36</v>
      </c>
      <c r="T1892" t="str">
        <f>"85051"</f>
        <v>85051</v>
      </c>
      <c r="U1892" t="str">
        <f>""</f>
        <v/>
      </c>
      <c r="V1892" t="s">
        <v>6629</v>
      </c>
      <c r="X1892" t="s">
        <v>964</v>
      </c>
      <c r="Y1892" t="s">
        <v>36</v>
      </c>
      <c r="Z1892" t="str">
        <f>"85051"</f>
        <v>85051</v>
      </c>
      <c r="AA1892" t="str">
        <f>""</f>
        <v/>
      </c>
      <c r="AB1892" t="s">
        <v>1466</v>
      </c>
    </row>
    <row r="1893" spans="1:28" x14ac:dyDescent="0.25">
      <c r="A1893">
        <v>79883</v>
      </c>
      <c r="B1893" t="str">
        <f>"118703000"</f>
        <v>118703000</v>
      </c>
      <c r="C1893" t="s">
        <v>6630</v>
      </c>
      <c r="D1893">
        <v>0</v>
      </c>
      <c r="E1893" t="str">
        <f>""</f>
        <v/>
      </c>
      <c r="G1893" t="s">
        <v>29</v>
      </c>
      <c r="H1893" t="s">
        <v>3744</v>
      </c>
      <c r="I1893" t="s">
        <v>590</v>
      </c>
      <c r="J1893" t="s">
        <v>6166</v>
      </c>
      <c r="K1893" t="str">
        <f>"6029532933"</f>
        <v>6029532933</v>
      </c>
      <c r="L1893" t="str">
        <f>""</f>
        <v/>
      </c>
      <c r="M1893" t="str">
        <f>"6029530831"</f>
        <v>6029530831</v>
      </c>
      <c r="N1893" t="str">
        <f>""</f>
        <v/>
      </c>
      <c r="O1893" t="s">
        <v>3746</v>
      </c>
      <c r="P1893" t="s">
        <v>3747</v>
      </c>
      <c r="R1893" t="s">
        <v>964</v>
      </c>
      <c r="S1893" t="s">
        <v>36</v>
      </c>
      <c r="T1893" t="str">
        <f>"85020"</f>
        <v>85020</v>
      </c>
      <c r="U1893" t="str">
        <f>""</f>
        <v/>
      </c>
      <c r="V1893" t="s">
        <v>3747</v>
      </c>
      <c r="X1893" t="s">
        <v>964</v>
      </c>
      <c r="Y1893" t="s">
        <v>36</v>
      </c>
      <c r="Z1893" t="str">
        <f>"85020"</f>
        <v>85020</v>
      </c>
      <c r="AA1893" t="str">
        <f>""</f>
        <v/>
      </c>
      <c r="AB1893" t="s">
        <v>1466</v>
      </c>
    </row>
    <row r="1894" spans="1:28" x14ac:dyDescent="0.25">
      <c r="A1894">
        <v>79883</v>
      </c>
      <c r="B1894" t="str">
        <f>"118703000"</f>
        <v>118703000</v>
      </c>
      <c r="C1894" t="s">
        <v>6630</v>
      </c>
      <c r="D1894">
        <v>6346</v>
      </c>
      <c r="E1894" t="str">
        <f>"118703001"</f>
        <v>118703001</v>
      </c>
      <c r="F1894" t="s">
        <v>6631</v>
      </c>
      <c r="G1894" t="s">
        <v>42</v>
      </c>
      <c r="H1894" t="s">
        <v>6632</v>
      </c>
      <c r="I1894" t="s">
        <v>6633</v>
      </c>
      <c r="J1894" t="s">
        <v>6572</v>
      </c>
      <c r="K1894" t="str">
        <f>"4802880337"</f>
        <v>4802880337</v>
      </c>
      <c r="L1894" t="str">
        <f>""</f>
        <v/>
      </c>
      <c r="M1894" t="str">
        <f>"4802880340"</f>
        <v>4802880340</v>
      </c>
      <c r="N1894" t="str">
        <f>""</f>
        <v/>
      </c>
      <c r="O1894" t="s">
        <v>6634</v>
      </c>
      <c r="P1894" t="s">
        <v>6635</v>
      </c>
      <c r="R1894" t="s">
        <v>964</v>
      </c>
      <c r="S1894" t="s">
        <v>36</v>
      </c>
      <c r="T1894" t="str">
        <f>"85020"</f>
        <v>85020</v>
      </c>
      <c r="U1894" t="str">
        <f>""</f>
        <v/>
      </c>
      <c r="V1894" t="s">
        <v>6636</v>
      </c>
      <c r="X1894" t="s">
        <v>4907</v>
      </c>
      <c r="Y1894" t="s">
        <v>36</v>
      </c>
      <c r="Z1894" t="str">
        <f>"85120"</f>
        <v>85120</v>
      </c>
      <c r="AA1894" t="str">
        <f>""</f>
        <v/>
      </c>
      <c r="AB1894" t="s">
        <v>1466</v>
      </c>
    </row>
    <row r="1895" spans="1:28" x14ac:dyDescent="0.25">
      <c r="A1895">
        <v>79905</v>
      </c>
      <c r="B1895" t="str">
        <f>"078959000"</f>
        <v>078959000</v>
      </c>
      <c r="C1895" t="s">
        <v>6637</v>
      </c>
      <c r="D1895">
        <v>0</v>
      </c>
      <c r="E1895" t="str">
        <f>""</f>
        <v/>
      </c>
      <c r="G1895" t="s">
        <v>29</v>
      </c>
      <c r="H1895" t="s">
        <v>5460</v>
      </c>
      <c r="I1895" t="s">
        <v>5461</v>
      </c>
      <c r="J1895" t="s">
        <v>32</v>
      </c>
      <c r="K1895" t="str">
        <f>"6232472204"</f>
        <v>6232472204</v>
      </c>
      <c r="L1895" t="str">
        <f>"2215"</f>
        <v>2215</v>
      </c>
      <c r="M1895" t="str">
        <f>"6232471113"</f>
        <v>6232471113</v>
      </c>
      <c r="N1895" t="str">
        <f>""</f>
        <v/>
      </c>
      <c r="O1895" t="s">
        <v>6638</v>
      </c>
      <c r="P1895" t="s">
        <v>6639</v>
      </c>
      <c r="R1895" t="s">
        <v>1173</v>
      </c>
      <c r="S1895" t="s">
        <v>36</v>
      </c>
      <c r="T1895" t="str">
        <f>"85303"</f>
        <v>85303</v>
      </c>
      <c r="U1895" t="str">
        <f>""</f>
        <v/>
      </c>
      <c r="V1895" t="s">
        <v>6639</v>
      </c>
      <c r="X1895" t="s">
        <v>1173</v>
      </c>
      <c r="Y1895" t="s">
        <v>36</v>
      </c>
      <c r="Z1895" t="str">
        <f>"85303"</f>
        <v>85303</v>
      </c>
      <c r="AA1895" t="str">
        <f>""</f>
        <v/>
      </c>
      <c r="AB1895" t="s">
        <v>821</v>
      </c>
    </row>
    <row r="1896" spans="1:28" x14ac:dyDescent="0.25">
      <c r="A1896">
        <v>79905</v>
      </c>
      <c r="B1896" t="str">
        <f>"078959000"</f>
        <v>078959000</v>
      </c>
      <c r="C1896" t="s">
        <v>6637</v>
      </c>
      <c r="D1896">
        <v>79906</v>
      </c>
      <c r="E1896" t="str">
        <f>"078959001"</f>
        <v>078959001</v>
      </c>
      <c r="F1896" t="s">
        <v>6640</v>
      </c>
      <c r="G1896" t="s">
        <v>42</v>
      </c>
      <c r="H1896" t="s">
        <v>5460</v>
      </c>
      <c r="I1896" t="s">
        <v>5461</v>
      </c>
      <c r="J1896" t="s">
        <v>32</v>
      </c>
      <c r="K1896" t="str">
        <f>"6232472204"</f>
        <v>6232472204</v>
      </c>
      <c r="L1896" t="str">
        <f>"2215"</f>
        <v>2215</v>
      </c>
      <c r="M1896" t="str">
        <f>"6232471113"</f>
        <v>6232471113</v>
      </c>
      <c r="N1896" t="str">
        <f>""</f>
        <v/>
      </c>
      <c r="O1896" t="s">
        <v>6641</v>
      </c>
      <c r="P1896" t="s">
        <v>6642</v>
      </c>
      <c r="R1896" t="s">
        <v>1173</v>
      </c>
      <c r="S1896" t="s">
        <v>36</v>
      </c>
      <c r="T1896" t="str">
        <f>"85303"</f>
        <v>85303</v>
      </c>
      <c r="U1896" t="str">
        <f>""</f>
        <v/>
      </c>
      <c r="V1896" t="s">
        <v>6642</v>
      </c>
      <c r="X1896" t="s">
        <v>1173</v>
      </c>
      <c r="Y1896" t="s">
        <v>36</v>
      </c>
      <c r="Z1896" t="str">
        <f>"85303"</f>
        <v>85303</v>
      </c>
      <c r="AA1896" t="str">
        <f>""</f>
        <v/>
      </c>
      <c r="AB1896" t="s">
        <v>821</v>
      </c>
    </row>
    <row r="1897" spans="1:28" x14ac:dyDescent="0.25">
      <c r="A1897">
        <v>79926</v>
      </c>
      <c r="B1897" t="str">
        <f>"108708000"</f>
        <v>108708000</v>
      </c>
      <c r="C1897" t="s">
        <v>6643</v>
      </c>
      <c r="D1897">
        <v>0</v>
      </c>
      <c r="E1897" t="str">
        <f>""</f>
        <v/>
      </c>
      <c r="G1897" t="s">
        <v>29</v>
      </c>
      <c r="H1897" t="s">
        <v>1888</v>
      </c>
      <c r="I1897" t="s">
        <v>6644</v>
      </c>
      <c r="J1897" t="s">
        <v>5777</v>
      </c>
      <c r="K1897" t="str">
        <f>"5202567555"</f>
        <v>5202567555</v>
      </c>
      <c r="L1897" t="str">
        <f>""</f>
        <v/>
      </c>
      <c r="M1897" t="str">
        <f>""</f>
        <v/>
      </c>
      <c r="N1897" t="str">
        <f>""</f>
        <v/>
      </c>
      <c r="O1897" t="s">
        <v>6645</v>
      </c>
      <c r="P1897" t="s">
        <v>6646</v>
      </c>
      <c r="R1897" t="s">
        <v>4169</v>
      </c>
      <c r="S1897" t="s">
        <v>36</v>
      </c>
      <c r="T1897" t="str">
        <f>"85740"</f>
        <v>85740</v>
      </c>
      <c r="U1897" t="str">
        <f>""</f>
        <v/>
      </c>
      <c r="V1897" t="s">
        <v>6647</v>
      </c>
      <c r="X1897" t="s">
        <v>4169</v>
      </c>
      <c r="Y1897" t="s">
        <v>36</v>
      </c>
      <c r="Z1897" t="str">
        <f>"85741"</f>
        <v>85741</v>
      </c>
      <c r="AA1897" t="str">
        <f>""</f>
        <v/>
      </c>
      <c r="AB1897" t="s">
        <v>86</v>
      </c>
    </row>
    <row r="1898" spans="1:28" x14ac:dyDescent="0.25">
      <c r="A1898">
        <v>79926</v>
      </c>
      <c r="B1898" t="str">
        <f>"108708000"</f>
        <v>108708000</v>
      </c>
      <c r="C1898" t="s">
        <v>6643</v>
      </c>
      <c r="D1898">
        <v>79927</v>
      </c>
      <c r="E1898" t="str">
        <f>"108708001"</f>
        <v>108708001</v>
      </c>
      <c r="F1898" t="s">
        <v>6648</v>
      </c>
      <c r="G1898" t="s">
        <v>42</v>
      </c>
      <c r="H1898" t="s">
        <v>1888</v>
      </c>
      <c r="I1898" t="s">
        <v>6644</v>
      </c>
      <c r="J1898" t="s">
        <v>6649</v>
      </c>
      <c r="K1898" t="str">
        <f>"5202567555"</f>
        <v>5202567555</v>
      </c>
      <c r="L1898" t="str">
        <f>""</f>
        <v/>
      </c>
      <c r="M1898" t="str">
        <f>""</f>
        <v/>
      </c>
      <c r="N1898" t="str">
        <f>""</f>
        <v/>
      </c>
      <c r="O1898" t="s">
        <v>6645</v>
      </c>
      <c r="P1898" t="s">
        <v>6646</v>
      </c>
      <c r="R1898" t="s">
        <v>4169</v>
      </c>
      <c r="S1898" t="s">
        <v>36</v>
      </c>
      <c r="T1898" t="str">
        <f>"85740"</f>
        <v>85740</v>
      </c>
      <c r="U1898" t="str">
        <f>""</f>
        <v/>
      </c>
      <c r="V1898" t="s">
        <v>6650</v>
      </c>
      <c r="X1898" t="s">
        <v>4169</v>
      </c>
      <c r="Y1898" t="s">
        <v>36</v>
      </c>
      <c r="Z1898" t="str">
        <f>"85741"</f>
        <v>85741</v>
      </c>
      <c r="AA1898" t="str">
        <f>""</f>
        <v/>
      </c>
      <c r="AB1898" t="s">
        <v>86</v>
      </c>
    </row>
    <row r="1899" spans="1:28" x14ac:dyDescent="0.25">
      <c r="A1899">
        <v>79926</v>
      </c>
      <c r="B1899" t="str">
        <f>"108708000"</f>
        <v>108708000</v>
      </c>
      <c r="C1899" t="s">
        <v>6643</v>
      </c>
      <c r="D1899">
        <v>90755</v>
      </c>
      <c r="E1899" t="str">
        <f>"108908001"</f>
        <v>108908001</v>
      </c>
      <c r="F1899" t="s">
        <v>6651</v>
      </c>
      <c r="G1899" t="s">
        <v>42</v>
      </c>
      <c r="H1899" t="s">
        <v>1888</v>
      </c>
      <c r="I1899" t="s">
        <v>6644</v>
      </c>
      <c r="J1899" t="s">
        <v>5777</v>
      </c>
      <c r="K1899" t="str">
        <f>"5202567555"</f>
        <v>5202567555</v>
      </c>
      <c r="L1899" t="str">
        <f>""</f>
        <v/>
      </c>
      <c r="M1899" t="str">
        <f>""</f>
        <v/>
      </c>
      <c r="N1899" t="str">
        <f>""</f>
        <v/>
      </c>
      <c r="O1899" t="s">
        <v>6645</v>
      </c>
      <c r="P1899" t="s">
        <v>6652</v>
      </c>
      <c r="R1899" t="s">
        <v>4169</v>
      </c>
      <c r="S1899" t="s">
        <v>36</v>
      </c>
      <c r="T1899" t="str">
        <f>"85740"</f>
        <v>85740</v>
      </c>
      <c r="U1899" t="str">
        <f>""</f>
        <v/>
      </c>
      <c r="V1899" t="s">
        <v>6653</v>
      </c>
      <c r="X1899" t="s">
        <v>6654</v>
      </c>
      <c r="Y1899" t="s">
        <v>36</v>
      </c>
      <c r="Z1899" t="str">
        <f>"85614"</f>
        <v>85614</v>
      </c>
      <c r="AA1899" t="str">
        <f>""</f>
        <v/>
      </c>
      <c r="AB1899" t="s">
        <v>86</v>
      </c>
    </row>
    <row r="1900" spans="1:28" x14ac:dyDescent="0.25">
      <c r="A1900">
        <v>79947</v>
      </c>
      <c r="B1900" t="str">
        <f>"108709000"</f>
        <v>108709000</v>
      </c>
      <c r="C1900" t="s">
        <v>6655</v>
      </c>
      <c r="D1900">
        <v>0</v>
      </c>
      <c r="E1900" t="str">
        <f>""</f>
        <v/>
      </c>
      <c r="G1900" t="s">
        <v>29</v>
      </c>
      <c r="H1900" t="s">
        <v>5060</v>
      </c>
      <c r="I1900" t="s">
        <v>6656</v>
      </c>
      <c r="J1900" t="s">
        <v>6657</v>
      </c>
      <c r="K1900" t="str">
        <f>"5205450575"</f>
        <v>5205450575</v>
      </c>
      <c r="L1900" t="str">
        <f>""</f>
        <v/>
      </c>
      <c r="M1900" t="str">
        <f>"5209898002"</f>
        <v>5209898002</v>
      </c>
      <c r="N1900" t="str">
        <f>""</f>
        <v/>
      </c>
      <c r="O1900" t="s">
        <v>6658</v>
      </c>
      <c r="P1900" t="s">
        <v>6659</v>
      </c>
      <c r="R1900" t="s">
        <v>4169</v>
      </c>
      <c r="S1900" t="s">
        <v>36</v>
      </c>
      <c r="T1900" t="str">
        <f>"85712"</f>
        <v>85712</v>
      </c>
      <c r="U1900" t="str">
        <f>""</f>
        <v/>
      </c>
      <c r="V1900" t="s">
        <v>6660</v>
      </c>
      <c r="X1900" t="s">
        <v>4169</v>
      </c>
      <c r="Y1900" t="s">
        <v>36</v>
      </c>
      <c r="Z1900" t="str">
        <f>"85730"</f>
        <v>85730</v>
      </c>
      <c r="AA1900" t="str">
        <f>""</f>
        <v/>
      </c>
      <c r="AB1900" t="s">
        <v>516</v>
      </c>
    </row>
    <row r="1901" spans="1:28" x14ac:dyDescent="0.25">
      <c r="A1901">
        <v>79947</v>
      </c>
      <c r="B1901" t="str">
        <f>"108709000"</f>
        <v>108709000</v>
      </c>
      <c r="C1901" t="s">
        <v>6655</v>
      </c>
      <c r="D1901">
        <v>79950</v>
      </c>
      <c r="E1901" t="str">
        <f>"108709101"</f>
        <v>108709101</v>
      </c>
      <c r="F1901" t="s">
        <v>6661</v>
      </c>
      <c r="G1901" t="s">
        <v>42</v>
      </c>
      <c r="H1901" t="s">
        <v>3602</v>
      </c>
      <c r="I1901" t="s">
        <v>417</v>
      </c>
      <c r="J1901" t="s">
        <v>32</v>
      </c>
      <c r="K1901" t="str">
        <f>"5207337373"</f>
        <v>5207337373</v>
      </c>
      <c r="L1901" t="str">
        <f>""</f>
        <v/>
      </c>
      <c r="M1901" t="str">
        <f>"5207337392"</f>
        <v>5207337392</v>
      </c>
      <c r="N1901" t="str">
        <f>""</f>
        <v/>
      </c>
      <c r="O1901" t="s">
        <v>6662</v>
      </c>
      <c r="P1901" t="s">
        <v>6659</v>
      </c>
      <c r="R1901" t="s">
        <v>4169</v>
      </c>
      <c r="S1901" t="s">
        <v>36</v>
      </c>
      <c r="T1901" t="str">
        <f>"85712"</f>
        <v>85712</v>
      </c>
      <c r="U1901" t="str">
        <f>""</f>
        <v/>
      </c>
      <c r="V1901" t="s">
        <v>6663</v>
      </c>
      <c r="X1901" t="s">
        <v>4169</v>
      </c>
      <c r="Y1901" t="s">
        <v>36</v>
      </c>
      <c r="Z1901" t="str">
        <f>"85712"</f>
        <v>85712</v>
      </c>
      <c r="AA1901" t="str">
        <f>""</f>
        <v/>
      </c>
      <c r="AB1901" t="s">
        <v>516</v>
      </c>
    </row>
    <row r="1902" spans="1:28" x14ac:dyDescent="0.25">
      <c r="A1902">
        <v>79947</v>
      </c>
      <c r="B1902" t="str">
        <f>"108709000"</f>
        <v>108709000</v>
      </c>
      <c r="C1902" t="s">
        <v>6655</v>
      </c>
      <c r="D1902">
        <v>81187</v>
      </c>
      <c r="E1902" t="str">
        <f>"108709103"</f>
        <v>108709103</v>
      </c>
      <c r="F1902" t="s">
        <v>6664</v>
      </c>
      <c r="G1902" t="s">
        <v>42</v>
      </c>
      <c r="H1902" t="s">
        <v>3602</v>
      </c>
      <c r="I1902" t="s">
        <v>417</v>
      </c>
      <c r="J1902" t="s">
        <v>32</v>
      </c>
      <c r="K1902" t="str">
        <f>"5207337373"</f>
        <v>5207337373</v>
      </c>
      <c r="L1902" t="str">
        <f>""</f>
        <v/>
      </c>
      <c r="M1902" t="str">
        <f>"5207337392"</f>
        <v>5207337392</v>
      </c>
      <c r="N1902" t="str">
        <f>""</f>
        <v/>
      </c>
      <c r="O1902" t="s">
        <v>6665</v>
      </c>
      <c r="P1902" t="s">
        <v>6666</v>
      </c>
      <c r="R1902" t="s">
        <v>4169</v>
      </c>
      <c r="S1902" t="s">
        <v>36</v>
      </c>
      <c r="T1902" t="str">
        <f>"85712"</f>
        <v>85712</v>
      </c>
      <c r="U1902" t="str">
        <f>""</f>
        <v/>
      </c>
      <c r="V1902" t="s">
        <v>6667</v>
      </c>
      <c r="X1902" t="s">
        <v>4169</v>
      </c>
      <c r="Y1902" t="s">
        <v>36</v>
      </c>
      <c r="Z1902" t="str">
        <f>"85730"</f>
        <v>85730</v>
      </c>
      <c r="AA1902" t="str">
        <f>""</f>
        <v/>
      </c>
      <c r="AB1902" t="s">
        <v>516</v>
      </c>
    </row>
    <row r="1903" spans="1:28" x14ac:dyDescent="0.25">
      <c r="A1903">
        <v>79947</v>
      </c>
      <c r="B1903" t="str">
        <f>"108709000"</f>
        <v>108709000</v>
      </c>
      <c r="C1903" t="s">
        <v>6655</v>
      </c>
      <c r="D1903">
        <v>91805</v>
      </c>
      <c r="E1903" t="str">
        <f>"108709104"</f>
        <v>108709104</v>
      </c>
      <c r="F1903" t="s">
        <v>6668</v>
      </c>
      <c r="G1903" t="s">
        <v>42</v>
      </c>
      <c r="H1903" t="s">
        <v>3602</v>
      </c>
      <c r="I1903" t="s">
        <v>417</v>
      </c>
      <c r="J1903" t="s">
        <v>32</v>
      </c>
      <c r="K1903" t="str">
        <f>"5206610328"</f>
        <v>5206610328</v>
      </c>
      <c r="L1903" t="str">
        <f>""</f>
        <v/>
      </c>
      <c r="M1903" t="str">
        <f>"5207337392"</f>
        <v>5207337392</v>
      </c>
      <c r="N1903" t="str">
        <f>""</f>
        <v/>
      </c>
      <c r="O1903" t="s">
        <v>6662</v>
      </c>
      <c r="P1903" t="s">
        <v>6659</v>
      </c>
      <c r="R1903" t="s">
        <v>4169</v>
      </c>
      <c r="S1903" t="s">
        <v>36</v>
      </c>
      <c r="T1903" t="str">
        <f>"85712"</f>
        <v>85712</v>
      </c>
      <c r="U1903" t="str">
        <f>""</f>
        <v/>
      </c>
      <c r="V1903" t="s">
        <v>6669</v>
      </c>
      <c r="X1903" t="s">
        <v>4169</v>
      </c>
      <c r="Y1903" t="s">
        <v>36</v>
      </c>
      <c r="Z1903" t="str">
        <f>"85706"</f>
        <v>85706</v>
      </c>
      <c r="AA1903" t="str">
        <f>""</f>
        <v/>
      </c>
      <c r="AB1903" t="s">
        <v>516</v>
      </c>
    </row>
    <row r="1904" spans="1:28" x14ac:dyDescent="0.25">
      <c r="A1904">
        <v>79959</v>
      </c>
      <c r="B1904" t="str">
        <f>"108711000"</f>
        <v>108711000</v>
      </c>
      <c r="C1904" t="s">
        <v>6670</v>
      </c>
      <c r="D1904">
        <v>0</v>
      </c>
      <c r="E1904" t="str">
        <f>""</f>
        <v/>
      </c>
      <c r="G1904" t="s">
        <v>29</v>
      </c>
      <c r="H1904" t="s">
        <v>1375</v>
      </c>
      <c r="I1904" t="s">
        <v>6671</v>
      </c>
      <c r="J1904" t="s">
        <v>6672</v>
      </c>
      <c r="K1904" t="str">
        <f>"5203262528"</f>
        <v>5203262528</v>
      </c>
      <c r="L1904" t="str">
        <f>""</f>
        <v/>
      </c>
      <c r="M1904" t="str">
        <f>"5202362527"</f>
        <v>5202362527</v>
      </c>
      <c r="N1904" t="str">
        <f>""</f>
        <v/>
      </c>
      <c r="O1904" t="s">
        <v>6673</v>
      </c>
      <c r="P1904" t="s">
        <v>6674</v>
      </c>
      <c r="Q1904" t="s">
        <v>6675</v>
      </c>
      <c r="R1904" t="s">
        <v>4169</v>
      </c>
      <c r="S1904" t="s">
        <v>36</v>
      </c>
      <c r="T1904" t="str">
        <f>"85711"</f>
        <v>85711</v>
      </c>
      <c r="U1904" t="str">
        <f>""</f>
        <v/>
      </c>
      <c r="V1904" t="s">
        <v>6674</v>
      </c>
      <c r="W1904" t="s">
        <v>6675</v>
      </c>
      <c r="X1904" t="s">
        <v>4169</v>
      </c>
      <c r="Y1904" t="s">
        <v>36</v>
      </c>
      <c r="Z1904" t="str">
        <f>"85711"</f>
        <v>85711</v>
      </c>
      <c r="AA1904" t="str">
        <f>""</f>
        <v/>
      </c>
      <c r="AB1904" t="s">
        <v>217</v>
      </c>
    </row>
    <row r="1905" spans="1:28" x14ac:dyDescent="0.25">
      <c r="A1905">
        <v>79959</v>
      </c>
      <c r="B1905" t="str">
        <f>"108711000"</f>
        <v>108711000</v>
      </c>
      <c r="C1905" t="s">
        <v>6670</v>
      </c>
      <c r="D1905">
        <v>79960</v>
      </c>
      <c r="E1905" t="str">
        <f>"108711201"</f>
        <v>108711201</v>
      </c>
      <c r="F1905" t="s">
        <v>6676</v>
      </c>
      <c r="G1905" t="s">
        <v>42</v>
      </c>
      <c r="H1905" t="s">
        <v>1375</v>
      </c>
      <c r="I1905" t="s">
        <v>6671</v>
      </c>
      <c r="J1905" t="s">
        <v>6672</v>
      </c>
      <c r="K1905" t="str">
        <f>"5203262528"</f>
        <v>5203262528</v>
      </c>
      <c r="L1905" t="str">
        <f>""</f>
        <v/>
      </c>
      <c r="M1905" t="str">
        <f>"5203262527"</f>
        <v>5203262527</v>
      </c>
      <c r="N1905" t="str">
        <f>""</f>
        <v/>
      </c>
      <c r="O1905" t="s">
        <v>6673</v>
      </c>
      <c r="P1905" t="s">
        <v>6674</v>
      </c>
      <c r="Q1905" t="s">
        <v>6675</v>
      </c>
      <c r="R1905" t="s">
        <v>4169</v>
      </c>
      <c r="S1905" t="s">
        <v>36</v>
      </c>
      <c r="T1905" t="str">
        <f>"85711"</f>
        <v>85711</v>
      </c>
      <c r="U1905" t="str">
        <f>""</f>
        <v/>
      </c>
      <c r="V1905" t="s">
        <v>6677</v>
      </c>
      <c r="X1905" t="s">
        <v>4169</v>
      </c>
      <c r="Y1905" t="s">
        <v>36</v>
      </c>
      <c r="Z1905" t="str">
        <f>"85705"</f>
        <v>85705</v>
      </c>
      <c r="AA1905" t="str">
        <f>""</f>
        <v/>
      </c>
      <c r="AB1905" t="s">
        <v>217</v>
      </c>
    </row>
    <row r="1906" spans="1:28" x14ac:dyDescent="0.25">
      <c r="A1906">
        <v>79959</v>
      </c>
      <c r="B1906" t="str">
        <f>"108711000"</f>
        <v>108711000</v>
      </c>
      <c r="C1906" t="s">
        <v>6670</v>
      </c>
      <c r="D1906">
        <v>92994</v>
      </c>
      <c r="E1906" t="str">
        <f>"108711001"</f>
        <v>108711001</v>
      </c>
      <c r="F1906" t="s">
        <v>6678</v>
      </c>
      <c r="G1906" t="s">
        <v>42</v>
      </c>
      <c r="H1906" t="s">
        <v>1375</v>
      </c>
      <c r="I1906" t="s">
        <v>6671</v>
      </c>
      <c r="J1906" t="s">
        <v>6672</v>
      </c>
      <c r="K1906" t="str">
        <f>"5203262528"</f>
        <v>5203262528</v>
      </c>
      <c r="L1906" t="str">
        <f>""</f>
        <v/>
      </c>
      <c r="M1906" t="str">
        <f>""</f>
        <v/>
      </c>
      <c r="N1906" t="str">
        <f>""</f>
        <v/>
      </c>
      <c r="O1906" t="s">
        <v>6673</v>
      </c>
      <c r="P1906" t="s">
        <v>6679</v>
      </c>
      <c r="R1906" t="s">
        <v>4169</v>
      </c>
      <c r="S1906" t="s">
        <v>36</v>
      </c>
      <c r="T1906" t="str">
        <f>"85711"</f>
        <v>85711</v>
      </c>
      <c r="U1906" t="str">
        <f>""</f>
        <v/>
      </c>
      <c r="V1906" t="s">
        <v>6677</v>
      </c>
      <c r="X1906" t="s">
        <v>4169</v>
      </c>
      <c r="Y1906" t="s">
        <v>36</v>
      </c>
      <c r="Z1906" t="str">
        <f>"85705"</f>
        <v>85705</v>
      </c>
      <c r="AA1906" t="str">
        <f>"7338"</f>
        <v>7338</v>
      </c>
      <c r="AB1906" t="s">
        <v>217</v>
      </c>
    </row>
    <row r="1907" spans="1:28" x14ac:dyDescent="0.25">
      <c r="A1907">
        <v>79961</v>
      </c>
      <c r="B1907" t="str">
        <f>"108713000"</f>
        <v>108713000</v>
      </c>
      <c r="C1907" t="s">
        <v>6680</v>
      </c>
      <c r="D1907">
        <v>0</v>
      </c>
      <c r="E1907" t="str">
        <f>""</f>
        <v/>
      </c>
      <c r="G1907" t="s">
        <v>29</v>
      </c>
      <c r="H1907" t="s">
        <v>943</v>
      </c>
      <c r="I1907" t="s">
        <v>6681</v>
      </c>
      <c r="J1907" t="s">
        <v>6682</v>
      </c>
      <c r="K1907" t="str">
        <f>"5208875392"</f>
        <v>5208875392</v>
      </c>
      <c r="L1907" t="str">
        <f>""</f>
        <v/>
      </c>
      <c r="M1907" t="str">
        <f>""</f>
        <v/>
      </c>
      <c r="N1907" t="str">
        <f>""</f>
        <v/>
      </c>
      <c r="O1907" t="s">
        <v>6683</v>
      </c>
      <c r="P1907" t="s">
        <v>6684</v>
      </c>
      <c r="R1907" t="s">
        <v>4169</v>
      </c>
      <c r="S1907" t="s">
        <v>36</v>
      </c>
      <c r="T1907" t="str">
        <f>"85705"</f>
        <v>85705</v>
      </c>
      <c r="U1907" t="str">
        <f>""</f>
        <v/>
      </c>
      <c r="V1907" t="s">
        <v>6684</v>
      </c>
      <c r="X1907" t="s">
        <v>4169</v>
      </c>
      <c r="Y1907" t="s">
        <v>36</v>
      </c>
      <c r="Z1907" t="str">
        <f>"85705"</f>
        <v>85705</v>
      </c>
      <c r="AA1907" t="str">
        <f>""</f>
        <v/>
      </c>
      <c r="AB1907" t="s">
        <v>821</v>
      </c>
    </row>
    <row r="1908" spans="1:28" x14ac:dyDescent="0.25">
      <c r="A1908">
        <v>79961</v>
      </c>
      <c r="B1908" t="str">
        <f>"108713000"</f>
        <v>108713000</v>
      </c>
      <c r="C1908" t="s">
        <v>6680</v>
      </c>
      <c r="D1908">
        <v>79094</v>
      </c>
      <c r="E1908" t="str">
        <f>"108713101"</f>
        <v>108713101</v>
      </c>
      <c r="F1908" t="s">
        <v>6685</v>
      </c>
      <c r="G1908" t="s">
        <v>42</v>
      </c>
      <c r="H1908" t="s">
        <v>1160</v>
      </c>
      <c r="I1908" t="s">
        <v>6686</v>
      </c>
      <c r="J1908" t="s">
        <v>486</v>
      </c>
      <c r="K1908" t="str">
        <f>"5202932676"</f>
        <v>5202932676</v>
      </c>
      <c r="L1908" t="str">
        <f>""</f>
        <v/>
      </c>
      <c r="M1908" t="str">
        <f>"5208870616"</f>
        <v>5208870616</v>
      </c>
      <c r="N1908" t="str">
        <f>""</f>
        <v/>
      </c>
      <c r="O1908" t="s">
        <v>6687</v>
      </c>
      <c r="P1908" t="s">
        <v>6688</v>
      </c>
      <c r="R1908" t="s">
        <v>4169</v>
      </c>
      <c r="S1908" t="s">
        <v>36</v>
      </c>
      <c r="T1908" t="str">
        <f>"85705"</f>
        <v>85705</v>
      </c>
      <c r="U1908" t="str">
        <f>""</f>
        <v/>
      </c>
      <c r="V1908" t="s">
        <v>6688</v>
      </c>
      <c r="X1908" t="s">
        <v>4169</v>
      </c>
      <c r="Y1908" t="s">
        <v>36</v>
      </c>
      <c r="Z1908" t="str">
        <f>"85705"</f>
        <v>85705</v>
      </c>
      <c r="AA1908" t="str">
        <f>""</f>
        <v/>
      </c>
      <c r="AB1908" t="s">
        <v>821</v>
      </c>
    </row>
    <row r="1909" spans="1:28" x14ac:dyDescent="0.25">
      <c r="A1909">
        <v>79967</v>
      </c>
      <c r="B1909" t="str">
        <f>"078968000"</f>
        <v>078968000</v>
      </c>
      <c r="C1909" t="s">
        <v>6689</v>
      </c>
      <c r="D1909">
        <v>0</v>
      </c>
      <c r="E1909" t="str">
        <f>""</f>
        <v/>
      </c>
      <c r="G1909" t="s">
        <v>29</v>
      </c>
      <c r="H1909" t="s">
        <v>6690</v>
      </c>
      <c r="I1909" t="s">
        <v>6691</v>
      </c>
      <c r="J1909" t="s">
        <v>6692</v>
      </c>
      <c r="K1909" t="str">
        <f>"4806330414"</f>
        <v>4806330414</v>
      </c>
      <c r="L1909" t="str">
        <f>"801"</f>
        <v>801</v>
      </c>
      <c r="M1909" t="str">
        <f>""</f>
        <v/>
      </c>
      <c r="N1909" t="str">
        <f>""</f>
        <v/>
      </c>
      <c r="O1909" t="s">
        <v>6693</v>
      </c>
      <c r="P1909" t="s">
        <v>6694</v>
      </c>
      <c r="Q1909" t="s">
        <v>6695</v>
      </c>
      <c r="R1909" t="s">
        <v>1275</v>
      </c>
      <c r="S1909" t="s">
        <v>36</v>
      </c>
      <c r="T1909" t="str">
        <f>"85296"</f>
        <v>85296</v>
      </c>
      <c r="U1909" t="str">
        <f>""</f>
        <v/>
      </c>
      <c r="V1909" t="s">
        <v>6694</v>
      </c>
      <c r="W1909" t="s">
        <v>6695</v>
      </c>
      <c r="X1909" t="s">
        <v>1275</v>
      </c>
      <c r="Y1909" t="s">
        <v>36</v>
      </c>
      <c r="Z1909" t="str">
        <f>"85296"</f>
        <v>85296</v>
      </c>
      <c r="AA1909" t="str">
        <f>""</f>
        <v/>
      </c>
      <c r="AB1909" t="s">
        <v>156</v>
      </c>
    </row>
    <row r="1910" spans="1:28" x14ac:dyDescent="0.25">
      <c r="A1910">
        <v>79967</v>
      </c>
      <c r="B1910" t="str">
        <f>"078968000"</f>
        <v>078968000</v>
      </c>
      <c r="C1910" t="s">
        <v>6689</v>
      </c>
      <c r="D1910">
        <v>79968</v>
      </c>
      <c r="E1910" t="str">
        <f>"078968101"</f>
        <v>078968101</v>
      </c>
      <c r="F1910" t="s">
        <v>6696</v>
      </c>
      <c r="G1910" t="s">
        <v>42</v>
      </c>
      <c r="H1910" t="s">
        <v>5102</v>
      </c>
      <c r="I1910" t="s">
        <v>6697</v>
      </c>
      <c r="J1910" t="s">
        <v>1748</v>
      </c>
      <c r="K1910" t="str">
        <f>"4805456646"</f>
        <v>4805456646</v>
      </c>
      <c r="L1910" t="str">
        <f>""</f>
        <v/>
      </c>
      <c r="M1910" t="str">
        <f>""</f>
        <v/>
      </c>
      <c r="N1910" t="str">
        <f>""</f>
        <v/>
      </c>
      <c r="O1910" t="s">
        <v>6698</v>
      </c>
      <c r="P1910" t="s">
        <v>6699</v>
      </c>
      <c r="Q1910" t="s">
        <v>6695</v>
      </c>
      <c r="R1910" t="s">
        <v>1275</v>
      </c>
      <c r="S1910" t="s">
        <v>36</v>
      </c>
      <c r="T1910" t="str">
        <f>"85296"</f>
        <v>85296</v>
      </c>
      <c r="U1910" t="str">
        <f>""</f>
        <v/>
      </c>
      <c r="V1910" t="s">
        <v>6700</v>
      </c>
      <c r="X1910" t="s">
        <v>1275</v>
      </c>
      <c r="Y1910" t="s">
        <v>36</v>
      </c>
      <c r="Z1910" t="str">
        <f>"85233"</f>
        <v>85233</v>
      </c>
      <c r="AA1910" t="str">
        <f>""</f>
        <v/>
      </c>
      <c r="AB1910" t="s">
        <v>156</v>
      </c>
    </row>
    <row r="1911" spans="1:28" x14ac:dyDescent="0.25">
      <c r="A1911">
        <v>79967</v>
      </c>
      <c r="B1911" t="str">
        <f>"078968000"</f>
        <v>078968000</v>
      </c>
      <c r="C1911" t="s">
        <v>6689</v>
      </c>
      <c r="D1911">
        <v>87416</v>
      </c>
      <c r="E1911" t="str">
        <f>"078968201"</f>
        <v>078968201</v>
      </c>
      <c r="F1911" t="s">
        <v>6701</v>
      </c>
      <c r="G1911" t="s">
        <v>42</v>
      </c>
      <c r="H1911" t="s">
        <v>6702</v>
      </c>
      <c r="I1911" t="s">
        <v>6703</v>
      </c>
      <c r="J1911" t="s">
        <v>1748</v>
      </c>
      <c r="K1911" t="str">
        <f>"4805456646"</f>
        <v>4805456646</v>
      </c>
      <c r="L1911" t="str">
        <f>""</f>
        <v/>
      </c>
      <c r="M1911" t="str">
        <f>""</f>
        <v/>
      </c>
      <c r="N1911" t="str">
        <f>""</f>
        <v/>
      </c>
      <c r="O1911" t="s">
        <v>6704</v>
      </c>
      <c r="P1911" t="s">
        <v>6694</v>
      </c>
      <c r="Q1911" t="s">
        <v>6695</v>
      </c>
      <c r="R1911" t="s">
        <v>1275</v>
      </c>
      <c r="S1911" t="s">
        <v>36</v>
      </c>
      <c r="T1911" t="str">
        <f>"85296"</f>
        <v>85296</v>
      </c>
      <c r="U1911" t="str">
        <f>""</f>
        <v/>
      </c>
      <c r="V1911" t="s">
        <v>6700</v>
      </c>
      <c r="X1911" t="s">
        <v>1275</v>
      </c>
      <c r="Y1911" t="s">
        <v>36</v>
      </c>
      <c r="Z1911" t="str">
        <f>"85233"</f>
        <v>85233</v>
      </c>
      <c r="AA1911" t="str">
        <f>""</f>
        <v/>
      </c>
      <c r="AB1911" t="s">
        <v>156</v>
      </c>
    </row>
    <row r="1912" spans="1:28" x14ac:dyDescent="0.25">
      <c r="A1912">
        <v>79967</v>
      </c>
      <c r="B1912" t="str">
        <f>"078968000"</f>
        <v>078968000</v>
      </c>
      <c r="C1912" t="s">
        <v>6689</v>
      </c>
      <c r="D1912">
        <v>89616</v>
      </c>
      <c r="E1912" t="str">
        <f>"078968103"</f>
        <v>078968103</v>
      </c>
      <c r="F1912" t="s">
        <v>6705</v>
      </c>
      <c r="G1912" t="s">
        <v>42</v>
      </c>
      <c r="H1912" t="s">
        <v>1561</v>
      </c>
      <c r="I1912" t="s">
        <v>6706</v>
      </c>
      <c r="J1912" t="s">
        <v>307</v>
      </c>
      <c r="K1912" t="str">
        <f>"4809845645"</f>
        <v>4809845645</v>
      </c>
      <c r="L1912" t="str">
        <f>""</f>
        <v/>
      </c>
      <c r="M1912" t="str">
        <f>""</f>
        <v/>
      </c>
      <c r="N1912" t="str">
        <f>""</f>
        <v/>
      </c>
      <c r="O1912" t="s">
        <v>6707</v>
      </c>
      <c r="P1912" t="s">
        <v>6694</v>
      </c>
      <c r="Q1912" t="s">
        <v>6695</v>
      </c>
      <c r="R1912" t="s">
        <v>1275</v>
      </c>
      <c r="S1912" t="s">
        <v>36</v>
      </c>
      <c r="T1912" t="str">
        <f>"85296"</f>
        <v>85296</v>
      </c>
      <c r="U1912" t="str">
        <f>""</f>
        <v/>
      </c>
      <c r="V1912" t="s">
        <v>6708</v>
      </c>
      <c r="X1912" t="s">
        <v>979</v>
      </c>
      <c r="Y1912" t="s">
        <v>36</v>
      </c>
      <c r="Z1912" t="str">
        <f>"85207"</f>
        <v>85207</v>
      </c>
      <c r="AA1912" t="str">
        <f>""</f>
        <v/>
      </c>
      <c r="AB1912" t="s">
        <v>156</v>
      </c>
    </row>
    <row r="1913" spans="1:28" x14ac:dyDescent="0.25">
      <c r="A1913">
        <v>79969</v>
      </c>
      <c r="B1913" t="str">
        <f>"078967000"</f>
        <v>078967000</v>
      </c>
      <c r="C1913" t="s">
        <v>6709</v>
      </c>
      <c r="D1913">
        <v>0</v>
      </c>
      <c r="E1913" t="str">
        <f>""</f>
        <v/>
      </c>
      <c r="G1913" t="s">
        <v>29</v>
      </c>
      <c r="H1913" t="s">
        <v>2168</v>
      </c>
      <c r="I1913" t="s">
        <v>110</v>
      </c>
      <c r="J1913" t="s">
        <v>3734</v>
      </c>
      <c r="K1913" t="str">
        <f>"6024330500"</f>
        <v>6024330500</v>
      </c>
      <c r="L1913" t="str">
        <f>""</f>
        <v/>
      </c>
      <c r="M1913" t="str">
        <f>"6029738208"</f>
        <v>6029738208</v>
      </c>
      <c r="N1913" t="str">
        <f>""</f>
        <v/>
      </c>
      <c r="O1913" t="s">
        <v>6710</v>
      </c>
      <c r="P1913" t="s">
        <v>6711</v>
      </c>
      <c r="R1913" t="s">
        <v>964</v>
      </c>
      <c r="S1913" t="s">
        <v>36</v>
      </c>
      <c r="T1913" t="str">
        <f>"85017"</f>
        <v>85017</v>
      </c>
      <c r="U1913" t="str">
        <f>""</f>
        <v/>
      </c>
      <c r="V1913" t="s">
        <v>6711</v>
      </c>
      <c r="X1913" t="s">
        <v>964</v>
      </c>
      <c r="Y1913" t="s">
        <v>36</v>
      </c>
      <c r="Z1913" t="str">
        <f>"85017"</f>
        <v>85017</v>
      </c>
      <c r="AA1913" t="str">
        <f>""</f>
        <v/>
      </c>
      <c r="AB1913" t="s">
        <v>40</v>
      </c>
    </row>
    <row r="1914" spans="1:28" x14ac:dyDescent="0.25">
      <c r="A1914">
        <v>79969</v>
      </c>
      <c r="B1914" t="str">
        <f>"078967000"</f>
        <v>078967000</v>
      </c>
      <c r="C1914" t="s">
        <v>6709</v>
      </c>
      <c r="D1914">
        <v>79970</v>
      </c>
      <c r="E1914" t="str">
        <f>"078967101"</f>
        <v>078967101</v>
      </c>
      <c r="F1914" t="s">
        <v>6709</v>
      </c>
      <c r="G1914" t="s">
        <v>42</v>
      </c>
      <c r="H1914" t="s">
        <v>2168</v>
      </c>
      <c r="I1914" t="s">
        <v>110</v>
      </c>
      <c r="J1914" t="s">
        <v>3734</v>
      </c>
      <c r="K1914" t="str">
        <f>"6024330500"</f>
        <v>6024330500</v>
      </c>
      <c r="L1914" t="str">
        <f>""</f>
        <v/>
      </c>
      <c r="M1914" t="str">
        <f>"6029738208"</f>
        <v>6029738208</v>
      </c>
      <c r="N1914" t="str">
        <f>""</f>
        <v/>
      </c>
      <c r="O1914" t="s">
        <v>6710</v>
      </c>
      <c r="P1914" t="s">
        <v>6712</v>
      </c>
      <c r="R1914" t="s">
        <v>964</v>
      </c>
      <c r="S1914" t="s">
        <v>36</v>
      </c>
      <c r="T1914" t="str">
        <f>"85017"</f>
        <v>85017</v>
      </c>
      <c r="U1914" t="str">
        <f>""</f>
        <v/>
      </c>
      <c r="V1914" t="s">
        <v>6712</v>
      </c>
      <c r="X1914" t="s">
        <v>964</v>
      </c>
      <c r="Y1914" t="s">
        <v>36</v>
      </c>
      <c r="Z1914" t="str">
        <f>"85017"</f>
        <v>85017</v>
      </c>
      <c r="AA1914" t="str">
        <f>""</f>
        <v/>
      </c>
      <c r="AB1914" t="s">
        <v>40</v>
      </c>
    </row>
    <row r="1915" spans="1:28" x14ac:dyDescent="0.25">
      <c r="A1915">
        <v>79971</v>
      </c>
      <c r="B1915" t="str">
        <f>"098749000"</f>
        <v>098749000</v>
      </c>
      <c r="C1915" t="s">
        <v>6713</v>
      </c>
      <c r="D1915">
        <v>0</v>
      </c>
      <c r="E1915" t="str">
        <f>""</f>
        <v/>
      </c>
      <c r="G1915" t="s">
        <v>29</v>
      </c>
      <c r="H1915" t="s">
        <v>6714</v>
      </c>
      <c r="I1915" t="s">
        <v>2949</v>
      </c>
      <c r="J1915" t="s">
        <v>6715</v>
      </c>
      <c r="K1915" t="str">
        <f>"4808346202"</f>
        <v>4808346202</v>
      </c>
      <c r="L1915" t="str">
        <f>""</f>
        <v/>
      </c>
      <c r="M1915" t="str">
        <f>"4808343991"</f>
        <v>4808343991</v>
      </c>
      <c r="N1915" t="str">
        <f>""</f>
        <v/>
      </c>
      <c r="O1915" t="s">
        <v>6716</v>
      </c>
      <c r="P1915" t="s">
        <v>6717</v>
      </c>
      <c r="R1915" t="s">
        <v>1275</v>
      </c>
      <c r="S1915" t="s">
        <v>36</v>
      </c>
      <c r="T1915" t="str">
        <f>"85296"</f>
        <v>85296</v>
      </c>
      <c r="U1915" t="str">
        <f>""</f>
        <v/>
      </c>
      <c r="V1915" t="s">
        <v>6718</v>
      </c>
      <c r="X1915" t="s">
        <v>979</v>
      </c>
      <c r="Y1915" t="s">
        <v>36</v>
      </c>
      <c r="Z1915" t="str">
        <f>"85203"</f>
        <v>85203</v>
      </c>
      <c r="AA1915" t="str">
        <f>""</f>
        <v/>
      </c>
      <c r="AB1915" t="s">
        <v>217</v>
      </c>
    </row>
    <row r="1916" spans="1:28" x14ac:dyDescent="0.25">
      <c r="A1916">
        <v>79971</v>
      </c>
      <c r="B1916" t="str">
        <f>"098749000"</f>
        <v>098749000</v>
      </c>
      <c r="C1916" t="s">
        <v>6713</v>
      </c>
      <c r="D1916">
        <v>81102</v>
      </c>
      <c r="E1916" t="str">
        <f>"098749002"</f>
        <v>098749002</v>
      </c>
      <c r="F1916" t="s">
        <v>6719</v>
      </c>
      <c r="G1916" t="s">
        <v>42</v>
      </c>
      <c r="H1916" t="s">
        <v>6714</v>
      </c>
      <c r="I1916" t="s">
        <v>2949</v>
      </c>
      <c r="J1916" t="s">
        <v>6720</v>
      </c>
      <c r="K1916" t="str">
        <f>"4808346202"</f>
        <v>4808346202</v>
      </c>
      <c r="L1916" t="str">
        <f>""</f>
        <v/>
      </c>
      <c r="M1916" t="str">
        <f>"4808346210"</f>
        <v>4808346210</v>
      </c>
      <c r="N1916" t="str">
        <f>""</f>
        <v/>
      </c>
      <c r="O1916" t="s">
        <v>6721</v>
      </c>
      <c r="P1916" t="s">
        <v>6717</v>
      </c>
      <c r="R1916" t="s">
        <v>1275</v>
      </c>
      <c r="S1916" t="s">
        <v>36</v>
      </c>
      <c r="T1916" t="str">
        <f>"85296"</f>
        <v>85296</v>
      </c>
      <c r="U1916" t="str">
        <f>""</f>
        <v/>
      </c>
      <c r="V1916" t="s">
        <v>6722</v>
      </c>
      <c r="X1916" t="s">
        <v>979</v>
      </c>
      <c r="Y1916" t="s">
        <v>36</v>
      </c>
      <c r="Z1916" t="str">
        <f>"85203"</f>
        <v>85203</v>
      </c>
      <c r="AA1916" t="str">
        <f>""</f>
        <v/>
      </c>
      <c r="AB1916" t="s">
        <v>217</v>
      </c>
    </row>
    <row r="1917" spans="1:28" x14ac:dyDescent="0.25">
      <c r="A1917">
        <v>79979</v>
      </c>
      <c r="B1917" t="str">
        <f>"108714000"</f>
        <v>108714000</v>
      </c>
      <c r="C1917" t="s">
        <v>6723</v>
      </c>
      <c r="D1917">
        <v>0</v>
      </c>
      <c r="E1917" t="str">
        <f>""</f>
        <v/>
      </c>
      <c r="G1917" t="s">
        <v>29</v>
      </c>
      <c r="H1917" t="s">
        <v>1906</v>
      </c>
      <c r="I1917" t="s">
        <v>5189</v>
      </c>
      <c r="J1917" t="s">
        <v>202</v>
      </c>
      <c r="K1917" t="str">
        <f>"5207923255"</f>
        <v>5207923255</v>
      </c>
      <c r="L1917" t="str">
        <f>""</f>
        <v/>
      </c>
      <c r="M1917" t="str">
        <f>"5207923245"</f>
        <v>5207923245</v>
      </c>
      <c r="N1917" t="str">
        <f>""</f>
        <v/>
      </c>
      <c r="O1917" t="s">
        <v>6724</v>
      </c>
      <c r="P1917" t="s">
        <v>6725</v>
      </c>
      <c r="R1917" t="s">
        <v>4169</v>
      </c>
      <c r="S1917" t="s">
        <v>36</v>
      </c>
      <c r="T1917" t="str">
        <f>"85745"</f>
        <v>85745</v>
      </c>
      <c r="U1917" t="str">
        <f>"1715"</f>
        <v>1715</v>
      </c>
      <c r="V1917" t="s">
        <v>6725</v>
      </c>
      <c r="X1917" t="s">
        <v>4169</v>
      </c>
      <c r="Y1917" t="s">
        <v>36</v>
      </c>
      <c r="Z1917" t="str">
        <f>"85745"</f>
        <v>85745</v>
      </c>
      <c r="AA1917" t="str">
        <f>"1715"</f>
        <v>1715</v>
      </c>
      <c r="AB1917" t="s">
        <v>2345</v>
      </c>
    </row>
    <row r="1918" spans="1:28" x14ac:dyDescent="0.25">
      <c r="A1918">
        <v>79979</v>
      </c>
      <c r="B1918" t="str">
        <f>"108714000"</f>
        <v>108714000</v>
      </c>
      <c r="C1918" t="s">
        <v>6723</v>
      </c>
      <c r="D1918">
        <v>79980</v>
      </c>
      <c r="E1918" t="str">
        <f>"108714101"</f>
        <v>108714101</v>
      </c>
      <c r="F1918" t="s">
        <v>6726</v>
      </c>
      <c r="G1918" t="s">
        <v>42</v>
      </c>
      <c r="H1918" t="s">
        <v>1906</v>
      </c>
      <c r="I1918" t="s">
        <v>5189</v>
      </c>
      <c r="J1918" t="s">
        <v>6345</v>
      </c>
      <c r="K1918" t="str">
        <f>"5207923255"</f>
        <v>5207923255</v>
      </c>
      <c r="L1918" t="str">
        <f>"1106"</f>
        <v>1106</v>
      </c>
      <c r="M1918" t="str">
        <f>"5207923245"</f>
        <v>5207923245</v>
      </c>
      <c r="N1918" t="str">
        <f>""</f>
        <v/>
      </c>
      <c r="O1918" t="s">
        <v>6724</v>
      </c>
      <c r="P1918" t="s">
        <v>6727</v>
      </c>
      <c r="R1918" t="s">
        <v>4169</v>
      </c>
      <c r="S1918" t="s">
        <v>36</v>
      </c>
      <c r="T1918" t="str">
        <f>"85745"</f>
        <v>85745</v>
      </c>
      <c r="U1918" t="str">
        <f>""</f>
        <v/>
      </c>
      <c r="V1918" t="s">
        <v>6728</v>
      </c>
      <c r="X1918" t="s">
        <v>4169</v>
      </c>
      <c r="Y1918" t="s">
        <v>36</v>
      </c>
      <c r="Z1918" t="str">
        <f>"85719"</f>
        <v>85719</v>
      </c>
      <c r="AA1918" t="str">
        <f>""</f>
        <v/>
      </c>
      <c r="AB1918" t="s">
        <v>2345</v>
      </c>
    </row>
    <row r="1919" spans="1:28" x14ac:dyDescent="0.25">
      <c r="A1919">
        <v>79979</v>
      </c>
      <c r="B1919" t="str">
        <f>"108714000"</f>
        <v>108714000</v>
      </c>
      <c r="C1919" t="s">
        <v>6723</v>
      </c>
      <c r="D1919">
        <v>84297</v>
      </c>
      <c r="E1919" t="str">
        <f>"108714102"</f>
        <v>108714102</v>
      </c>
      <c r="F1919" t="s">
        <v>6729</v>
      </c>
      <c r="G1919" t="s">
        <v>42</v>
      </c>
      <c r="H1919" t="s">
        <v>1906</v>
      </c>
      <c r="I1919" t="s">
        <v>5189</v>
      </c>
      <c r="J1919" t="s">
        <v>6345</v>
      </c>
      <c r="K1919" t="str">
        <f>"5207923255"</f>
        <v>5207923255</v>
      </c>
      <c r="L1919" t="str">
        <f>"1106"</f>
        <v>1106</v>
      </c>
      <c r="M1919" t="str">
        <f>"5207923245"</f>
        <v>5207923245</v>
      </c>
      <c r="N1919" t="str">
        <f>""</f>
        <v/>
      </c>
      <c r="O1919" t="s">
        <v>6730</v>
      </c>
      <c r="P1919" t="s">
        <v>6727</v>
      </c>
      <c r="R1919" t="s">
        <v>6261</v>
      </c>
      <c r="S1919" t="s">
        <v>36</v>
      </c>
      <c r="T1919" t="str">
        <f>"85745"</f>
        <v>85745</v>
      </c>
      <c r="U1919" t="str">
        <f>""</f>
        <v/>
      </c>
      <c r="V1919" t="s">
        <v>6731</v>
      </c>
      <c r="X1919" t="s">
        <v>4169</v>
      </c>
      <c r="Y1919" t="s">
        <v>36</v>
      </c>
      <c r="Z1919" t="str">
        <f>"85746"</f>
        <v>85746</v>
      </c>
      <c r="AA1919" t="str">
        <f>""</f>
        <v/>
      </c>
      <c r="AB1919" t="s">
        <v>2345</v>
      </c>
    </row>
    <row r="1920" spans="1:28" x14ac:dyDescent="0.25">
      <c r="A1920">
        <v>79979</v>
      </c>
      <c r="B1920" t="str">
        <f>"108714000"</f>
        <v>108714000</v>
      </c>
      <c r="C1920" t="s">
        <v>6723</v>
      </c>
      <c r="D1920">
        <v>90044</v>
      </c>
      <c r="E1920" t="str">
        <f>"108714103"</f>
        <v>108714103</v>
      </c>
      <c r="F1920" t="s">
        <v>6732</v>
      </c>
      <c r="G1920" t="s">
        <v>42</v>
      </c>
      <c r="H1920" t="s">
        <v>1906</v>
      </c>
      <c r="I1920" t="s">
        <v>5189</v>
      </c>
      <c r="J1920" t="s">
        <v>6345</v>
      </c>
      <c r="K1920" t="str">
        <f>"5207923255"</f>
        <v>5207923255</v>
      </c>
      <c r="L1920" t="str">
        <f>""</f>
        <v/>
      </c>
      <c r="M1920" t="str">
        <f>"5207923245"</f>
        <v>5207923245</v>
      </c>
      <c r="N1920" t="str">
        <f>""</f>
        <v/>
      </c>
      <c r="O1920" t="s">
        <v>6724</v>
      </c>
      <c r="P1920" t="s">
        <v>6725</v>
      </c>
      <c r="R1920" t="s">
        <v>6261</v>
      </c>
      <c r="S1920" t="s">
        <v>36</v>
      </c>
      <c r="T1920" t="str">
        <f>"85745"</f>
        <v>85745</v>
      </c>
      <c r="U1920" t="str">
        <f>""</f>
        <v/>
      </c>
      <c r="V1920" t="s">
        <v>6733</v>
      </c>
      <c r="X1920" t="s">
        <v>4169</v>
      </c>
      <c r="Y1920" t="s">
        <v>36</v>
      </c>
      <c r="Z1920" t="str">
        <f>"85710"</f>
        <v>85710</v>
      </c>
      <c r="AA1920" t="str">
        <f>""</f>
        <v/>
      </c>
      <c r="AB1920" t="s">
        <v>2345</v>
      </c>
    </row>
    <row r="1921" spans="1:28" x14ac:dyDescent="0.25">
      <c r="A1921">
        <v>79979</v>
      </c>
      <c r="B1921" t="str">
        <f>"108714000"</f>
        <v>108714000</v>
      </c>
      <c r="C1921" t="s">
        <v>6723</v>
      </c>
      <c r="D1921">
        <v>90045</v>
      </c>
      <c r="E1921" t="str">
        <f>"108714104"</f>
        <v>108714104</v>
      </c>
      <c r="F1921" t="s">
        <v>6734</v>
      </c>
      <c r="G1921" t="s">
        <v>42</v>
      </c>
      <c r="H1921" t="s">
        <v>1906</v>
      </c>
      <c r="I1921" t="s">
        <v>5189</v>
      </c>
      <c r="J1921" t="s">
        <v>6345</v>
      </c>
      <c r="K1921" t="str">
        <f>"5207923255"</f>
        <v>5207923255</v>
      </c>
      <c r="L1921" t="str">
        <f>"1106"</f>
        <v>1106</v>
      </c>
      <c r="M1921" t="str">
        <f>"5207923245"</f>
        <v>5207923245</v>
      </c>
      <c r="N1921" t="str">
        <f>""</f>
        <v/>
      </c>
      <c r="O1921" t="s">
        <v>6724</v>
      </c>
      <c r="P1921" t="s">
        <v>6735</v>
      </c>
      <c r="R1921" t="s">
        <v>4169</v>
      </c>
      <c r="S1921" t="s">
        <v>36</v>
      </c>
      <c r="T1921" t="str">
        <f>"85745"</f>
        <v>85745</v>
      </c>
      <c r="U1921" t="str">
        <f>""</f>
        <v/>
      </c>
      <c r="V1921" t="s">
        <v>6735</v>
      </c>
      <c r="X1921" t="s">
        <v>4169</v>
      </c>
      <c r="Y1921" t="s">
        <v>36</v>
      </c>
      <c r="Z1921" t="str">
        <f>"85745"</f>
        <v>85745</v>
      </c>
      <c r="AA1921" t="str">
        <f>""</f>
        <v/>
      </c>
      <c r="AB1921" t="s">
        <v>2345</v>
      </c>
    </row>
    <row r="1922" spans="1:28" x14ac:dyDescent="0.25">
      <c r="A1922">
        <v>79983</v>
      </c>
      <c r="B1922" t="str">
        <f>"078972000"</f>
        <v>078972000</v>
      </c>
      <c r="C1922" t="s">
        <v>6736</v>
      </c>
      <c r="D1922">
        <v>0</v>
      </c>
      <c r="E1922" t="str">
        <f>""</f>
        <v/>
      </c>
      <c r="G1922" t="s">
        <v>29</v>
      </c>
      <c r="H1922" t="s">
        <v>6179</v>
      </c>
      <c r="I1922" t="s">
        <v>6180</v>
      </c>
      <c r="J1922" t="s">
        <v>6181</v>
      </c>
      <c r="K1922" t="str">
        <f>"4805007059"</f>
        <v>4805007059</v>
      </c>
      <c r="L1922" t="str">
        <f>""</f>
        <v/>
      </c>
      <c r="M1922" t="str">
        <f>""</f>
        <v/>
      </c>
      <c r="N1922" t="str">
        <f>""</f>
        <v/>
      </c>
      <c r="O1922" t="s">
        <v>6182</v>
      </c>
      <c r="P1922" t="s">
        <v>6183</v>
      </c>
      <c r="R1922" t="s">
        <v>964</v>
      </c>
      <c r="S1922" t="s">
        <v>36</v>
      </c>
      <c r="T1922" t="str">
        <f t="shared" ref="T1922:T1927" si="303">"85035"</f>
        <v>85035</v>
      </c>
      <c r="U1922" t="str">
        <f>""</f>
        <v/>
      </c>
      <c r="V1922" t="s">
        <v>6737</v>
      </c>
      <c r="X1922" t="s">
        <v>964</v>
      </c>
      <c r="Y1922" t="s">
        <v>36</v>
      </c>
      <c r="Z1922" t="str">
        <f>"85053"</f>
        <v>85053</v>
      </c>
      <c r="AA1922" t="str">
        <f>""</f>
        <v/>
      </c>
      <c r="AB1922" t="s">
        <v>1166</v>
      </c>
    </row>
    <row r="1923" spans="1:28" x14ac:dyDescent="0.25">
      <c r="A1923">
        <v>79983</v>
      </c>
      <c r="B1923" t="str">
        <f>"078972000"</f>
        <v>078972000</v>
      </c>
      <c r="C1923" t="s">
        <v>6736</v>
      </c>
      <c r="D1923">
        <v>79507</v>
      </c>
      <c r="E1923" t="str">
        <f>"078972101"</f>
        <v>078972101</v>
      </c>
      <c r="F1923" t="s">
        <v>6738</v>
      </c>
      <c r="G1923" t="s">
        <v>42</v>
      </c>
      <c r="H1923" t="s">
        <v>6739</v>
      </c>
      <c r="I1923" t="s">
        <v>5006</v>
      </c>
      <c r="J1923" t="s">
        <v>301</v>
      </c>
      <c r="K1923" t="str">
        <f>"6025477920"</f>
        <v>6025477920</v>
      </c>
      <c r="L1923" t="str">
        <f>""</f>
        <v/>
      </c>
      <c r="M1923" t="str">
        <f>"6025477923"</f>
        <v>6025477923</v>
      </c>
      <c r="N1923" t="str">
        <f>""</f>
        <v/>
      </c>
      <c r="O1923" t="s">
        <v>6740</v>
      </c>
      <c r="P1923" t="s">
        <v>6183</v>
      </c>
      <c r="R1923" t="s">
        <v>964</v>
      </c>
      <c r="S1923" t="s">
        <v>36</v>
      </c>
      <c r="T1923" t="str">
        <f t="shared" si="303"/>
        <v>85035</v>
      </c>
      <c r="U1923" t="str">
        <f>""</f>
        <v/>
      </c>
      <c r="V1923" t="s">
        <v>6741</v>
      </c>
      <c r="X1923" t="s">
        <v>964</v>
      </c>
      <c r="Y1923" t="s">
        <v>36</v>
      </c>
      <c r="Z1923" t="str">
        <f>"85053"</f>
        <v>85053</v>
      </c>
      <c r="AA1923" t="str">
        <f>""</f>
        <v/>
      </c>
      <c r="AB1923" t="s">
        <v>1166</v>
      </c>
    </row>
    <row r="1924" spans="1:28" x14ac:dyDescent="0.25">
      <c r="A1924">
        <v>79988</v>
      </c>
      <c r="B1924" t="str">
        <f>"078975000"</f>
        <v>078975000</v>
      </c>
      <c r="C1924" t="s">
        <v>6742</v>
      </c>
      <c r="D1924">
        <v>0</v>
      </c>
      <c r="E1924" t="str">
        <f>""</f>
        <v/>
      </c>
      <c r="G1924" t="s">
        <v>29</v>
      </c>
      <c r="H1924" t="s">
        <v>6179</v>
      </c>
      <c r="I1924" t="s">
        <v>6180</v>
      </c>
      <c r="J1924" t="s">
        <v>6181</v>
      </c>
      <c r="K1924" t="str">
        <f>"4805007059"</f>
        <v>4805007059</v>
      </c>
      <c r="L1924" t="str">
        <f>""</f>
        <v/>
      </c>
      <c r="M1924" t="str">
        <f>""</f>
        <v/>
      </c>
      <c r="N1924" t="str">
        <f>""</f>
        <v/>
      </c>
      <c r="O1924" t="s">
        <v>6182</v>
      </c>
      <c r="P1924" t="s">
        <v>6183</v>
      </c>
      <c r="R1924" t="s">
        <v>964</v>
      </c>
      <c r="S1924" t="s">
        <v>36</v>
      </c>
      <c r="T1924" t="str">
        <f t="shared" si="303"/>
        <v>85035</v>
      </c>
      <c r="U1924" t="str">
        <f>""</f>
        <v/>
      </c>
      <c r="V1924" t="s">
        <v>6743</v>
      </c>
      <c r="X1924" t="s">
        <v>964</v>
      </c>
      <c r="Y1924" t="s">
        <v>36</v>
      </c>
      <c r="Z1924" t="str">
        <f>"85051"</f>
        <v>85051</v>
      </c>
      <c r="AA1924" t="str">
        <f>""</f>
        <v/>
      </c>
      <c r="AB1924" t="s">
        <v>1166</v>
      </c>
    </row>
    <row r="1925" spans="1:28" x14ac:dyDescent="0.25">
      <c r="A1925">
        <v>79988</v>
      </c>
      <c r="B1925" t="str">
        <f>"078975000"</f>
        <v>078975000</v>
      </c>
      <c r="C1925" t="s">
        <v>6742</v>
      </c>
      <c r="D1925">
        <v>79989</v>
      </c>
      <c r="E1925" t="str">
        <f>"078975101"</f>
        <v>078975101</v>
      </c>
      <c r="F1925" t="s">
        <v>6744</v>
      </c>
      <c r="G1925" t="s">
        <v>42</v>
      </c>
      <c r="H1925" t="s">
        <v>6185</v>
      </c>
      <c r="I1925" t="s">
        <v>1966</v>
      </c>
      <c r="J1925" t="s">
        <v>301</v>
      </c>
      <c r="K1925" t="str">
        <f>"6025899840"</f>
        <v>6025899840</v>
      </c>
      <c r="L1925" t="str">
        <f>""</f>
        <v/>
      </c>
      <c r="M1925" t="str">
        <f>"6025899841"</f>
        <v>6025899841</v>
      </c>
      <c r="N1925" t="str">
        <f>""</f>
        <v/>
      </c>
      <c r="O1925" t="s">
        <v>6186</v>
      </c>
      <c r="P1925" t="s">
        <v>6183</v>
      </c>
      <c r="R1925" t="s">
        <v>964</v>
      </c>
      <c r="S1925" t="s">
        <v>36</v>
      </c>
      <c r="T1925" t="str">
        <f t="shared" si="303"/>
        <v>85035</v>
      </c>
      <c r="U1925" t="str">
        <f>""</f>
        <v/>
      </c>
      <c r="V1925" t="s">
        <v>6187</v>
      </c>
      <c r="X1925" t="s">
        <v>964</v>
      </c>
      <c r="Y1925" t="s">
        <v>36</v>
      </c>
      <c r="Z1925" t="str">
        <f>"85051"</f>
        <v>85051</v>
      </c>
      <c r="AA1925" t="str">
        <f>""</f>
        <v/>
      </c>
      <c r="AB1925" t="s">
        <v>1166</v>
      </c>
    </row>
    <row r="1926" spans="1:28" x14ac:dyDescent="0.25">
      <c r="A1926">
        <v>79990</v>
      </c>
      <c r="B1926" t="str">
        <f>"078974000"</f>
        <v>078974000</v>
      </c>
      <c r="C1926" t="s">
        <v>6745</v>
      </c>
      <c r="D1926">
        <v>0</v>
      </c>
      <c r="E1926" t="str">
        <f>""</f>
        <v/>
      </c>
      <c r="G1926" t="s">
        <v>29</v>
      </c>
      <c r="H1926" t="s">
        <v>6179</v>
      </c>
      <c r="I1926" t="s">
        <v>6180</v>
      </c>
      <c r="J1926" t="s">
        <v>6181</v>
      </c>
      <c r="K1926" t="str">
        <f>"4805007059"</f>
        <v>4805007059</v>
      </c>
      <c r="L1926" t="str">
        <f>""</f>
        <v/>
      </c>
      <c r="M1926" t="str">
        <f>""</f>
        <v/>
      </c>
      <c r="N1926" t="str">
        <f>""</f>
        <v/>
      </c>
      <c r="O1926" t="s">
        <v>6182</v>
      </c>
      <c r="P1926" t="s">
        <v>6183</v>
      </c>
      <c r="R1926" t="s">
        <v>964</v>
      </c>
      <c r="S1926" t="s">
        <v>36</v>
      </c>
      <c r="T1926" t="str">
        <f t="shared" si="303"/>
        <v>85035</v>
      </c>
      <c r="U1926" t="str">
        <f>""</f>
        <v/>
      </c>
      <c r="V1926" t="s">
        <v>6418</v>
      </c>
      <c r="X1926" t="s">
        <v>1275</v>
      </c>
      <c r="Y1926" t="s">
        <v>36</v>
      </c>
      <c r="Z1926" t="str">
        <f>"85295"</f>
        <v>85295</v>
      </c>
      <c r="AA1926" t="str">
        <f>""</f>
        <v/>
      </c>
      <c r="AB1926" t="s">
        <v>1166</v>
      </c>
    </row>
    <row r="1927" spans="1:28" x14ac:dyDescent="0.25">
      <c r="A1927">
        <v>79990</v>
      </c>
      <c r="B1927" t="str">
        <f>"078974000"</f>
        <v>078974000</v>
      </c>
      <c r="C1927" t="s">
        <v>6745</v>
      </c>
      <c r="D1927">
        <v>79991</v>
      </c>
      <c r="E1927" t="str">
        <f>"078974101"</f>
        <v>078974101</v>
      </c>
      <c r="F1927" t="s">
        <v>6746</v>
      </c>
      <c r="G1927" t="s">
        <v>42</v>
      </c>
      <c r="H1927" t="s">
        <v>1332</v>
      </c>
      <c r="I1927" t="s">
        <v>6420</v>
      </c>
      <c r="J1927" t="s">
        <v>301</v>
      </c>
      <c r="K1927" t="str">
        <f>"4808552700"</f>
        <v>4808552700</v>
      </c>
      <c r="L1927" t="str">
        <f>""</f>
        <v/>
      </c>
      <c r="M1927" t="str">
        <f>"4808552701"</f>
        <v>4808552701</v>
      </c>
      <c r="N1927" t="str">
        <f>""</f>
        <v/>
      </c>
      <c r="O1927" t="s">
        <v>6421</v>
      </c>
      <c r="P1927" t="s">
        <v>6183</v>
      </c>
      <c r="R1927" t="s">
        <v>964</v>
      </c>
      <c r="S1927" t="s">
        <v>36</v>
      </c>
      <c r="T1927" t="str">
        <f t="shared" si="303"/>
        <v>85035</v>
      </c>
      <c r="U1927" t="str">
        <f>""</f>
        <v/>
      </c>
      <c r="V1927" t="s">
        <v>6747</v>
      </c>
      <c r="X1927" t="s">
        <v>1275</v>
      </c>
      <c r="Y1927" t="s">
        <v>36</v>
      </c>
      <c r="Z1927" t="str">
        <f>"85295"</f>
        <v>85295</v>
      </c>
      <c r="AA1927" t="str">
        <f>""</f>
        <v/>
      </c>
      <c r="AB1927" t="s">
        <v>1166</v>
      </c>
    </row>
    <row r="1928" spans="1:28" x14ac:dyDescent="0.25">
      <c r="A1928">
        <v>79994</v>
      </c>
      <c r="B1928" t="str">
        <f t="shared" ref="B1928:B1935" si="304">"078976000"</f>
        <v>078976000</v>
      </c>
      <c r="C1928" t="s">
        <v>6748</v>
      </c>
      <c r="D1928">
        <v>0</v>
      </c>
      <c r="E1928" t="str">
        <f>""</f>
        <v/>
      </c>
      <c r="G1928" t="s">
        <v>29</v>
      </c>
      <c r="H1928" t="s">
        <v>158</v>
      </c>
      <c r="I1928" t="s">
        <v>2174</v>
      </c>
      <c r="J1928" t="s">
        <v>6749</v>
      </c>
      <c r="K1928" t="str">
        <f>"6022655133"</f>
        <v>6022655133</v>
      </c>
      <c r="L1928" t="str">
        <f>""</f>
        <v/>
      </c>
      <c r="M1928" t="str">
        <f>"6026042337"</f>
        <v>6026042337</v>
      </c>
      <c r="N1928" t="str">
        <f>""</f>
        <v/>
      </c>
      <c r="O1928" t="s">
        <v>6750</v>
      </c>
      <c r="P1928" t="s">
        <v>6751</v>
      </c>
      <c r="R1928" t="s">
        <v>964</v>
      </c>
      <c r="S1928" t="s">
        <v>36</v>
      </c>
      <c r="T1928" t="str">
        <f t="shared" ref="T1928:T1935" si="305">"85014"</f>
        <v>85014</v>
      </c>
      <c r="U1928" t="str">
        <f>""</f>
        <v/>
      </c>
      <c r="V1928" t="s">
        <v>6752</v>
      </c>
      <c r="X1928" t="s">
        <v>3320</v>
      </c>
      <c r="Y1928" t="s">
        <v>36</v>
      </c>
      <c r="Z1928" t="str">
        <f>"85015"</f>
        <v>85015</v>
      </c>
      <c r="AA1928" t="str">
        <f>""</f>
        <v/>
      </c>
      <c r="AB1928" t="s">
        <v>516</v>
      </c>
    </row>
    <row r="1929" spans="1:28" x14ac:dyDescent="0.25">
      <c r="A1929">
        <v>79994</v>
      </c>
      <c r="B1929" t="str">
        <f t="shared" si="304"/>
        <v>078976000</v>
      </c>
      <c r="C1929" t="s">
        <v>6748</v>
      </c>
      <c r="D1929">
        <v>5463</v>
      </c>
      <c r="E1929" t="str">
        <f>"078726001"</f>
        <v>078726001</v>
      </c>
      <c r="F1929" t="s">
        <v>6753</v>
      </c>
      <c r="G1929" t="s">
        <v>42</v>
      </c>
      <c r="H1929" t="s">
        <v>6754</v>
      </c>
      <c r="I1929" t="s">
        <v>6755</v>
      </c>
      <c r="J1929" t="s">
        <v>6756</v>
      </c>
      <c r="K1929" t="str">
        <f>"6234043384"</f>
        <v>6234043384</v>
      </c>
      <c r="L1929" t="str">
        <f>"2733"</f>
        <v>2733</v>
      </c>
      <c r="M1929" t="str">
        <f>"4807558222"</f>
        <v>4807558222</v>
      </c>
      <c r="N1929" t="str">
        <f>""</f>
        <v/>
      </c>
      <c r="O1929" t="s">
        <v>6757</v>
      </c>
      <c r="P1929" t="s">
        <v>6758</v>
      </c>
      <c r="Q1929" t="s">
        <v>6759</v>
      </c>
      <c r="R1929" t="s">
        <v>964</v>
      </c>
      <c r="S1929" t="s">
        <v>36</v>
      </c>
      <c r="T1929" t="str">
        <f t="shared" si="305"/>
        <v>85014</v>
      </c>
      <c r="U1929" t="str">
        <f>""</f>
        <v/>
      </c>
      <c r="V1929" t="s">
        <v>6760</v>
      </c>
      <c r="X1929" t="s">
        <v>967</v>
      </c>
      <c r="Y1929" t="s">
        <v>36</v>
      </c>
      <c r="Z1929" t="str">
        <f>"85282"</f>
        <v>85282</v>
      </c>
      <c r="AA1929" t="str">
        <f>""</f>
        <v/>
      </c>
      <c r="AB1929" t="s">
        <v>516</v>
      </c>
    </row>
    <row r="1930" spans="1:28" x14ac:dyDescent="0.25">
      <c r="A1930">
        <v>79994</v>
      </c>
      <c r="B1930" t="str">
        <f t="shared" si="304"/>
        <v>078976000</v>
      </c>
      <c r="C1930" t="s">
        <v>6748</v>
      </c>
      <c r="D1930">
        <v>5526</v>
      </c>
      <c r="E1930" t="str">
        <f>"078976101"</f>
        <v>078976101</v>
      </c>
      <c r="F1930" t="s">
        <v>6748</v>
      </c>
      <c r="G1930" t="s">
        <v>42</v>
      </c>
      <c r="H1930" t="s">
        <v>5734</v>
      </c>
      <c r="I1930" t="s">
        <v>6761</v>
      </c>
      <c r="J1930" t="s">
        <v>6762</v>
      </c>
      <c r="K1930" t="str">
        <f>"6022655133"</f>
        <v>6022655133</v>
      </c>
      <c r="L1930" t="str">
        <f>""</f>
        <v/>
      </c>
      <c r="M1930" t="str">
        <f>"6026042337"</f>
        <v>6026042337</v>
      </c>
      <c r="N1930" t="str">
        <f>""</f>
        <v/>
      </c>
      <c r="O1930" t="s">
        <v>6763</v>
      </c>
      <c r="P1930" t="s">
        <v>6751</v>
      </c>
      <c r="R1930" t="s">
        <v>964</v>
      </c>
      <c r="S1930" t="s">
        <v>36</v>
      </c>
      <c r="T1930" t="str">
        <f t="shared" si="305"/>
        <v>85014</v>
      </c>
      <c r="U1930" t="str">
        <f>""</f>
        <v/>
      </c>
      <c r="V1930" t="s">
        <v>6764</v>
      </c>
      <c r="X1930" t="s">
        <v>964</v>
      </c>
      <c r="Y1930" t="s">
        <v>36</v>
      </c>
      <c r="Z1930" t="str">
        <f>"85015"</f>
        <v>85015</v>
      </c>
      <c r="AA1930" t="str">
        <f>""</f>
        <v/>
      </c>
      <c r="AB1930" t="s">
        <v>516</v>
      </c>
    </row>
    <row r="1931" spans="1:28" x14ac:dyDescent="0.25">
      <c r="A1931">
        <v>79994</v>
      </c>
      <c r="B1931" t="str">
        <f t="shared" si="304"/>
        <v>078976000</v>
      </c>
      <c r="C1931" t="s">
        <v>6748</v>
      </c>
      <c r="D1931">
        <v>10750</v>
      </c>
      <c r="E1931" t="str">
        <f>"118704003"</f>
        <v>118704003</v>
      </c>
      <c r="F1931" t="s">
        <v>6765</v>
      </c>
      <c r="G1931" t="s">
        <v>42</v>
      </c>
      <c r="H1931" t="s">
        <v>6754</v>
      </c>
      <c r="I1931" t="s">
        <v>6755</v>
      </c>
      <c r="J1931" t="s">
        <v>926</v>
      </c>
      <c r="K1931" t="str">
        <f>"6234043384"</f>
        <v>6234043384</v>
      </c>
      <c r="L1931" t="str">
        <f>"2733"</f>
        <v>2733</v>
      </c>
      <c r="M1931" t="str">
        <f>"4807558222"</f>
        <v>4807558222</v>
      </c>
      <c r="N1931" t="str">
        <f>""</f>
        <v/>
      </c>
      <c r="O1931" t="s">
        <v>6766</v>
      </c>
      <c r="P1931" t="s">
        <v>6767</v>
      </c>
      <c r="R1931" t="s">
        <v>964</v>
      </c>
      <c r="S1931" t="s">
        <v>36</v>
      </c>
      <c r="T1931" t="str">
        <f t="shared" si="305"/>
        <v>85014</v>
      </c>
      <c r="U1931" t="str">
        <f>""</f>
        <v/>
      </c>
      <c r="V1931" t="s">
        <v>6768</v>
      </c>
      <c r="X1931" t="s">
        <v>4738</v>
      </c>
      <c r="Y1931" t="s">
        <v>36</v>
      </c>
      <c r="Z1931" t="str">
        <f>"85122"</f>
        <v>85122</v>
      </c>
      <c r="AA1931" t="str">
        <f>""</f>
        <v/>
      </c>
      <c r="AB1931" t="s">
        <v>516</v>
      </c>
    </row>
    <row r="1932" spans="1:28" x14ac:dyDescent="0.25">
      <c r="A1932">
        <v>79994</v>
      </c>
      <c r="B1932" t="str">
        <f t="shared" si="304"/>
        <v>078976000</v>
      </c>
      <c r="C1932" t="s">
        <v>6748</v>
      </c>
      <c r="D1932">
        <v>79619</v>
      </c>
      <c r="E1932" t="str">
        <f>"078920008"</f>
        <v>078920008</v>
      </c>
      <c r="F1932" t="s">
        <v>6769</v>
      </c>
      <c r="G1932" t="s">
        <v>42</v>
      </c>
      <c r="H1932" t="s">
        <v>6754</v>
      </c>
      <c r="I1932" t="s">
        <v>6755</v>
      </c>
      <c r="J1932" t="s">
        <v>926</v>
      </c>
      <c r="K1932" t="str">
        <f>"6234043384"</f>
        <v>6234043384</v>
      </c>
      <c r="L1932" t="str">
        <f>"2733"</f>
        <v>2733</v>
      </c>
      <c r="M1932" t="str">
        <f>"4807558222"</f>
        <v>4807558222</v>
      </c>
      <c r="N1932" t="str">
        <f>""</f>
        <v/>
      </c>
      <c r="O1932" t="s">
        <v>6757</v>
      </c>
      <c r="P1932" t="s">
        <v>6758</v>
      </c>
      <c r="Q1932" t="s">
        <v>6770</v>
      </c>
      <c r="R1932" t="s">
        <v>964</v>
      </c>
      <c r="S1932" t="s">
        <v>36</v>
      </c>
      <c r="T1932" t="str">
        <f t="shared" si="305"/>
        <v>85014</v>
      </c>
      <c r="U1932" t="str">
        <f>""</f>
        <v/>
      </c>
      <c r="V1932" t="s">
        <v>6771</v>
      </c>
      <c r="X1932" t="s">
        <v>979</v>
      </c>
      <c r="Y1932" t="s">
        <v>36</v>
      </c>
      <c r="Z1932" t="str">
        <f>"85210"</f>
        <v>85210</v>
      </c>
      <c r="AA1932" t="str">
        <f>""</f>
        <v/>
      </c>
      <c r="AB1932" t="s">
        <v>516</v>
      </c>
    </row>
    <row r="1933" spans="1:28" x14ac:dyDescent="0.25">
      <c r="A1933">
        <v>79994</v>
      </c>
      <c r="B1933" t="str">
        <f t="shared" si="304"/>
        <v>078976000</v>
      </c>
      <c r="C1933" t="s">
        <v>6748</v>
      </c>
      <c r="D1933">
        <v>79621</v>
      </c>
      <c r="E1933" t="str">
        <f>"128701004"</f>
        <v>128701004</v>
      </c>
      <c r="F1933" t="s">
        <v>6769</v>
      </c>
      <c r="G1933" t="s">
        <v>42</v>
      </c>
      <c r="H1933" t="s">
        <v>6754</v>
      </c>
      <c r="I1933" t="s">
        <v>6755</v>
      </c>
      <c r="J1933" t="s">
        <v>4389</v>
      </c>
      <c r="K1933" t="str">
        <f>"6234043384"</f>
        <v>6234043384</v>
      </c>
      <c r="L1933" t="str">
        <f>"2733"</f>
        <v>2733</v>
      </c>
      <c r="M1933" t="str">
        <f>"4807558222"</f>
        <v>4807558222</v>
      </c>
      <c r="N1933" t="str">
        <f>""</f>
        <v/>
      </c>
      <c r="O1933" t="s">
        <v>6757</v>
      </c>
      <c r="P1933" t="s">
        <v>6759</v>
      </c>
      <c r="R1933" t="s">
        <v>964</v>
      </c>
      <c r="S1933" t="s">
        <v>36</v>
      </c>
      <c r="T1933" t="str">
        <f t="shared" si="305"/>
        <v>85014</v>
      </c>
      <c r="U1933" t="str">
        <f>""</f>
        <v/>
      </c>
      <c r="V1933" t="s">
        <v>6772</v>
      </c>
      <c r="X1933" t="s">
        <v>5129</v>
      </c>
      <c r="Y1933" t="s">
        <v>36</v>
      </c>
      <c r="Z1933" t="str">
        <f>"85621"</f>
        <v>85621</v>
      </c>
      <c r="AA1933" t="str">
        <f>""</f>
        <v/>
      </c>
      <c r="AB1933" t="s">
        <v>516</v>
      </c>
    </row>
    <row r="1934" spans="1:28" x14ac:dyDescent="0.25">
      <c r="A1934">
        <v>79994</v>
      </c>
      <c r="B1934" t="str">
        <f t="shared" si="304"/>
        <v>078976000</v>
      </c>
      <c r="C1934" t="s">
        <v>6748</v>
      </c>
      <c r="D1934">
        <v>81180</v>
      </c>
      <c r="E1934" t="str">
        <f>"078726009"</f>
        <v>078726009</v>
      </c>
      <c r="F1934" t="s">
        <v>6773</v>
      </c>
      <c r="G1934" t="s">
        <v>42</v>
      </c>
      <c r="H1934" t="s">
        <v>6754</v>
      </c>
      <c r="I1934" t="s">
        <v>6755</v>
      </c>
      <c r="J1934" t="s">
        <v>6756</v>
      </c>
      <c r="K1934" t="str">
        <f>"6234043384"</f>
        <v>6234043384</v>
      </c>
      <c r="L1934" t="str">
        <f>"2733"</f>
        <v>2733</v>
      </c>
      <c r="M1934" t="str">
        <f>"4807558222"</f>
        <v>4807558222</v>
      </c>
      <c r="N1934" t="str">
        <f>""</f>
        <v/>
      </c>
      <c r="O1934" t="s">
        <v>6757</v>
      </c>
      <c r="P1934" t="s">
        <v>6774</v>
      </c>
      <c r="Q1934" t="s">
        <v>6759</v>
      </c>
      <c r="R1934" t="s">
        <v>964</v>
      </c>
      <c r="S1934" t="s">
        <v>36</v>
      </c>
      <c r="T1934" t="str">
        <f t="shared" si="305"/>
        <v>85014</v>
      </c>
      <c r="U1934" t="str">
        <f>""</f>
        <v/>
      </c>
      <c r="V1934" t="s">
        <v>6775</v>
      </c>
      <c r="X1934" t="s">
        <v>4738</v>
      </c>
      <c r="Y1934" t="s">
        <v>36</v>
      </c>
      <c r="Z1934" t="str">
        <f>"85122"</f>
        <v>85122</v>
      </c>
      <c r="AA1934" t="str">
        <f>""</f>
        <v/>
      </c>
      <c r="AB1934" t="s">
        <v>516</v>
      </c>
    </row>
    <row r="1935" spans="1:28" x14ac:dyDescent="0.25">
      <c r="A1935">
        <v>79994</v>
      </c>
      <c r="B1935" t="str">
        <f t="shared" si="304"/>
        <v>078976000</v>
      </c>
      <c r="C1935" t="s">
        <v>6748</v>
      </c>
      <c r="D1935">
        <v>289884</v>
      </c>
      <c r="E1935" t="str">
        <f>"078920007"</f>
        <v>078920007</v>
      </c>
      <c r="F1935" t="s">
        <v>6776</v>
      </c>
      <c r="G1935" t="s">
        <v>42</v>
      </c>
      <c r="H1935" t="s">
        <v>6754</v>
      </c>
      <c r="I1935" t="s">
        <v>6755</v>
      </c>
      <c r="J1935" t="s">
        <v>6756</v>
      </c>
      <c r="K1935" t="str">
        <f>"6234043384"</f>
        <v>6234043384</v>
      </c>
      <c r="L1935" t="str">
        <f>"2733"</f>
        <v>2733</v>
      </c>
      <c r="M1935" t="str">
        <f>"4807558222"</f>
        <v>4807558222</v>
      </c>
      <c r="N1935" t="str">
        <f>""</f>
        <v/>
      </c>
      <c r="O1935" t="s">
        <v>6757</v>
      </c>
      <c r="P1935" t="s">
        <v>6758</v>
      </c>
      <c r="Q1935" t="s">
        <v>6759</v>
      </c>
      <c r="R1935" t="s">
        <v>964</v>
      </c>
      <c r="S1935" t="s">
        <v>36</v>
      </c>
      <c r="T1935" t="str">
        <f t="shared" si="305"/>
        <v>85014</v>
      </c>
      <c r="U1935" t="str">
        <f>""</f>
        <v/>
      </c>
      <c r="V1935" t="s">
        <v>6777</v>
      </c>
      <c r="X1935" t="s">
        <v>967</v>
      </c>
      <c r="Y1935" t="s">
        <v>36</v>
      </c>
      <c r="Z1935" t="str">
        <f>"85283"</f>
        <v>85283</v>
      </c>
      <c r="AA1935" t="str">
        <f>""</f>
        <v/>
      </c>
      <c r="AB1935" t="s">
        <v>516</v>
      </c>
    </row>
    <row r="1936" spans="1:28" x14ac:dyDescent="0.25">
      <c r="A1936">
        <v>80032</v>
      </c>
      <c r="B1936" t="str">
        <f>"108793000"</f>
        <v>108793000</v>
      </c>
      <c r="C1936" t="s">
        <v>6778</v>
      </c>
      <c r="D1936">
        <v>0</v>
      </c>
      <c r="E1936" t="str">
        <f>""</f>
        <v/>
      </c>
      <c r="G1936" t="s">
        <v>29</v>
      </c>
      <c r="H1936" t="s">
        <v>1603</v>
      </c>
      <c r="I1936" t="s">
        <v>6779</v>
      </c>
      <c r="J1936" t="s">
        <v>5218</v>
      </c>
      <c r="K1936" t="str">
        <f>"5208077923"</f>
        <v>5208077923</v>
      </c>
      <c r="L1936" t="str">
        <f>""</f>
        <v/>
      </c>
      <c r="M1936" t="str">
        <f>""</f>
        <v/>
      </c>
      <c r="N1936" t="str">
        <f>""</f>
        <v/>
      </c>
      <c r="O1936" t="s">
        <v>6780</v>
      </c>
      <c r="P1936" t="s">
        <v>6781</v>
      </c>
      <c r="R1936" t="s">
        <v>4169</v>
      </c>
      <c r="S1936" t="s">
        <v>36</v>
      </c>
      <c r="T1936" t="str">
        <f>"85714"</f>
        <v>85714</v>
      </c>
      <c r="U1936" t="str">
        <f>""</f>
        <v/>
      </c>
      <c r="V1936" t="s">
        <v>6782</v>
      </c>
      <c r="X1936" t="s">
        <v>4169</v>
      </c>
      <c r="Y1936" t="s">
        <v>36</v>
      </c>
      <c r="Z1936" t="str">
        <f>"85714"</f>
        <v>85714</v>
      </c>
      <c r="AA1936" t="str">
        <f>""</f>
        <v/>
      </c>
      <c r="AB1936" t="s">
        <v>40</v>
      </c>
    </row>
    <row r="1937" spans="1:28" x14ac:dyDescent="0.25">
      <c r="A1937">
        <v>80032</v>
      </c>
      <c r="B1937" t="str">
        <f>"108793000"</f>
        <v>108793000</v>
      </c>
      <c r="C1937" t="s">
        <v>6778</v>
      </c>
      <c r="D1937">
        <v>80033</v>
      </c>
      <c r="E1937" t="str">
        <f>"108793201"</f>
        <v>108793201</v>
      </c>
      <c r="F1937" t="s">
        <v>6783</v>
      </c>
      <c r="G1937" t="s">
        <v>42</v>
      </c>
      <c r="H1937" t="s">
        <v>6784</v>
      </c>
      <c r="I1937" t="s">
        <v>6785</v>
      </c>
      <c r="J1937" t="s">
        <v>6786</v>
      </c>
      <c r="K1937" t="str">
        <f>"5208077923"</f>
        <v>5208077923</v>
      </c>
      <c r="L1937" t="str">
        <f>""</f>
        <v/>
      </c>
      <c r="M1937" t="str">
        <f>"5208077827"</f>
        <v>5208077827</v>
      </c>
      <c r="N1937" t="str">
        <f>""</f>
        <v/>
      </c>
      <c r="O1937" t="s">
        <v>6787</v>
      </c>
      <c r="P1937" t="s">
        <v>6788</v>
      </c>
      <c r="R1937" t="s">
        <v>4169</v>
      </c>
      <c r="S1937" t="s">
        <v>36</v>
      </c>
      <c r="T1937" t="str">
        <f>"87514"</f>
        <v>87514</v>
      </c>
      <c r="U1937" t="str">
        <f>""</f>
        <v/>
      </c>
      <c r="V1937" t="s">
        <v>6788</v>
      </c>
      <c r="X1937" t="s">
        <v>4169</v>
      </c>
      <c r="Y1937" t="s">
        <v>36</v>
      </c>
      <c r="Z1937" t="str">
        <f>"87514"</f>
        <v>87514</v>
      </c>
      <c r="AA1937" t="str">
        <f>""</f>
        <v/>
      </c>
      <c r="AB1937" t="s">
        <v>40</v>
      </c>
    </row>
    <row r="1938" spans="1:28" x14ac:dyDescent="0.25">
      <c r="A1938">
        <v>80072</v>
      </c>
      <c r="B1938" t="str">
        <f>"094008000"</f>
        <v>094008000</v>
      </c>
      <c r="C1938" t="s">
        <v>6789</v>
      </c>
      <c r="D1938">
        <v>0</v>
      </c>
      <c r="E1938" t="str">
        <f>""</f>
        <v/>
      </c>
      <c r="G1938" t="s">
        <v>29</v>
      </c>
      <c r="H1938" t="s">
        <v>2226</v>
      </c>
      <c r="I1938" t="s">
        <v>159</v>
      </c>
      <c r="J1938" t="s">
        <v>195</v>
      </c>
      <c r="K1938" t="str">
        <f>"9286973632"</f>
        <v>9286973632</v>
      </c>
      <c r="L1938" t="str">
        <f>""</f>
        <v/>
      </c>
      <c r="M1938" t="str">
        <f>"9286973490"</f>
        <v>9286973490</v>
      </c>
      <c r="N1938" t="str">
        <f>""</f>
        <v/>
      </c>
      <c r="O1938" t="s">
        <v>6790</v>
      </c>
      <c r="P1938" t="s">
        <v>6791</v>
      </c>
      <c r="R1938" t="s">
        <v>4137</v>
      </c>
      <c r="S1938" t="s">
        <v>36</v>
      </c>
      <c r="T1938" t="str">
        <f>"86033"</f>
        <v>86033</v>
      </c>
      <c r="U1938" t="str">
        <f>"0188"</f>
        <v>0188</v>
      </c>
      <c r="V1938" t="s">
        <v>6792</v>
      </c>
      <c r="X1938" t="s">
        <v>4137</v>
      </c>
      <c r="Y1938" t="s">
        <v>36</v>
      </c>
      <c r="Z1938" t="str">
        <f>"86033"</f>
        <v>86033</v>
      </c>
      <c r="AA1938" t="str">
        <f>"0188"</f>
        <v>0188</v>
      </c>
      <c r="AB1938" t="s">
        <v>124</v>
      </c>
    </row>
    <row r="1939" spans="1:28" x14ac:dyDescent="0.25">
      <c r="A1939">
        <v>80072</v>
      </c>
      <c r="B1939" t="str">
        <f>"094008000"</f>
        <v>094008000</v>
      </c>
      <c r="C1939" t="s">
        <v>6789</v>
      </c>
      <c r="D1939">
        <v>80074</v>
      </c>
      <c r="E1939" t="str">
        <f>"014011004"</f>
        <v>014011004</v>
      </c>
      <c r="F1939" t="s">
        <v>6793</v>
      </c>
      <c r="G1939" t="s">
        <v>42</v>
      </c>
      <c r="H1939" t="s">
        <v>6794</v>
      </c>
      <c r="I1939" t="s">
        <v>159</v>
      </c>
      <c r="J1939" t="s">
        <v>195</v>
      </c>
      <c r="K1939" t="str">
        <f>"9286973439"</f>
        <v>9286973439</v>
      </c>
      <c r="L1939" t="str">
        <f>"3632"</f>
        <v>3632</v>
      </c>
      <c r="M1939" t="str">
        <f>"9286973490"</f>
        <v>9286973490</v>
      </c>
      <c r="N1939" t="str">
        <f>""</f>
        <v/>
      </c>
      <c r="O1939" t="s">
        <v>6790</v>
      </c>
      <c r="P1939" t="s">
        <v>6791</v>
      </c>
      <c r="R1939" t="s">
        <v>4137</v>
      </c>
      <c r="S1939" t="s">
        <v>36</v>
      </c>
      <c r="T1939" t="str">
        <f>"86033"</f>
        <v>86033</v>
      </c>
      <c r="U1939" t="str">
        <f>"0188"</f>
        <v>0188</v>
      </c>
      <c r="V1939" t="s">
        <v>6792</v>
      </c>
      <c r="X1939" t="s">
        <v>4137</v>
      </c>
      <c r="Y1939" t="s">
        <v>36</v>
      </c>
      <c r="Z1939" t="str">
        <f>"86033"</f>
        <v>86033</v>
      </c>
      <c r="AA1939" t="str">
        <f>"0188"</f>
        <v>0188</v>
      </c>
      <c r="AB1939" t="s">
        <v>124</v>
      </c>
    </row>
    <row r="1940" spans="1:28" x14ac:dyDescent="0.25">
      <c r="A1940">
        <v>80077</v>
      </c>
      <c r="B1940" t="str">
        <f>"014005000"</f>
        <v>014005000</v>
      </c>
      <c r="C1940" t="s">
        <v>6795</v>
      </c>
      <c r="D1940">
        <v>0</v>
      </c>
      <c r="E1940" t="str">
        <f>""</f>
        <v/>
      </c>
      <c r="G1940" t="s">
        <v>29</v>
      </c>
      <c r="H1940" t="s">
        <v>6796</v>
      </c>
      <c r="I1940" t="s">
        <v>4133</v>
      </c>
      <c r="J1940" t="s">
        <v>151</v>
      </c>
      <c r="K1940" t="str">
        <f>"9282128809"</f>
        <v>9282128809</v>
      </c>
      <c r="L1940" t="str">
        <f>""</f>
        <v/>
      </c>
      <c r="M1940" t="str">
        <f>"9287872311"</f>
        <v>9287872311</v>
      </c>
      <c r="N1940" t="str">
        <f>""</f>
        <v/>
      </c>
      <c r="O1940" t="s">
        <v>6797</v>
      </c>
      <c r="P1940" t="s">
        <v>6798</v>
      </c>
      <c r="R1940" t="s">
        <v>6799</v>
      </c>
      <c r="S1940" t="s">
        <v>36</v>
      </c>
      <c r="T1940" t="str">
        <f>"86507"</f>
        <v>86507</v>
      </c>
      <c r="U1940" t="str">
        <f>""</f>
        <v/>
      </c>
      <c r="V1940" t="s">
        <v>6798</v>
      </c>
      <c r="X1940" t="s">
        <v>6799</v>
      </c>
      <c r="Y1940" t="s">
        <v>36</v>
      </c>
      <c r="Z1940" t="str">
        <f>"86507"</f>
        <v>86507</v>
      </c>
      <c r="AA1940" t="str">
        <f>""</f>
        <v/>
      </c>
      <c r="AB1940" t="s">
        <v>249</v>
      </c>
    </row>
    <row r="1941" spans="1:28" x14ac:dyDescent="0.25">
      <c r="A1941">
        <v>80077</v>
      </c>
      <c r="B1941" t="str">
        <f>"014005000"</f>
        <v>014005000</v>
      </c>
      <c r="C1941" t="s">
        <v>6795</v>
      </c>
      <c r="D1941">
        <v>87926</v>
      </c>
      <c r="E1941" t="str">
        <f>"014005005"</f>
        <v>014005005</v>
      </c>
      <c r="F1941" t="s">
        <v>6800</v>
      </c>
      <c r="G1941" t="s">
        <v>42</v>
      </c>
      <c r="H1941" t="s">
        <v>6796</v>
      </c>
      <c r="I1941" t="s">
        <v>4133</v>
      </c>
      <c r="J1941" t="s">
        <v>6801</v>
      </c>
      <c r="K1941" t="str">
        <f>"9282128809"</f>
        <v>9282128809</v>
      </c>
      <c r="L1941" t="str">
        <f>""</f>
        <v/>
      </c>
      <c r="M1941" t="str">
        <f>"9287872311"</f>
        <v>9287872311</v>
      </c>
      <c r="N1941" t="str">
        <f>""</f>
        <v/>
      </c>
      <c r="O1941" t="s">
        <v>6797</v>
      </c>
      <c r="P1941" t="s">
        <v>6798</v>
      </c>
      <c r="Q1941" t="s">
        <v>6802</v>
      </c>
      <c r="R1941" t="s">
        <v>6799</v>
      </c>
      <c r="S1941" t="s">
        <v>36</v>
      </c>
      <c r="T1941" t="str">
        <f>"86507"</f>
        <v>86507</v>
      </c>
      <c r="U1941" t="str">
        <f>""</f>
        <v/>
      </c>
      <c r="V1941" t="s">
        <v>6798</v>
      </c>
      <c r="W1941" t="s">
        <v>6802</v>
      </c>
      <c r="X1941" t="s">
        <v>6799</v>
      </c>
      <c r="Y1941" t="s">
        <v>36</v>
      </c>
      <c r="Z1941" t="str">
        <f>"86507"</f>
        <v>86507</v>
      </c>
      <c r="AA1941" t="str">
        <f>""</f>
        <v/>
      </c>
      <c r="AB1941" t="s">
        <v>249</v>
      </c>
    </row>
    <row r="1942" spans="1:28" x14ac:dyDescent="0.25">
      <c r="A1942">
        <v>80081</v>
      </c>
      <c r="B1942" t="str">
        <f>"094012000"</f>
        <v>094012000</v>
      </c>
      <c r="C1942" t="s">
        <v>6803</v>
      </c>
      <c r="D1942">
        <v>0</v>
      </c>
      <c r="E1942" t="str">
        <f>""</f>
        <v/>
      </c>
      <c r="G1942" t="s">
        <v>29</v>
      </c>
      <c r="H1942" t="s">
        <v>2037</v>
      </c>
      <c r="I1942" t="s">
        <v>6804</v>
      </c>
      <c r="J1942" t="s">
        <v>6805</v>
      </c>
      <c r="K1942" t="str">
        <f>"9285246222"</f>
        <v>9285246222</v>
      </c>
      <c r="L1942" t="str">
        <f>""</f>
        <v/>
      </c>
      <c r="M1942" t="str">
        <f>"9285242231"</f>
        <v>9285242231</v>
      </c>
      <c r="N1942" t="str">
        <f>""</f>
        <v/>
      </c>
      <c r="O1942" t="s">
        <v>6806</v>
      </c>
      <c r="P1942" t="s">
        <v>6807</v>
      </c>
      <c r="R1942" t="s">
        <v>3986</v>
      </c>
      <c r="S1942" t="s">
        <v>36</v>
      </c>
      <c r="T1942" t="str">
        <f>"86025"</f>
        <v>86025</v>
      </c>
      <c r="U1942" t="str">
        <f>""</f>
        <v/>
      </c>
      <c r="V1942" t="s">
        <v>6807</v>
      </c>
      <c r="X1942" t="s">
        <v>3986</v>
      </c>
      <c r="Y1942" t="s">
        <v>36</v>
      </c>
      <c r="Z1942" t="str">
        <f>"86025"</f>
        <v>86025</v>
      </c>
      <c r="AA1942" t="str">
        <f>""</f>
        <v/>
      </c>
      <c r="AB1942" t="s">
        <v>508</v>
      </c>
    </row>
    <row r="1943" spans="1:28" x14ac:dyDescent="0.25">
      <c r="A1943">
        <v>80081</v>
      </c>
      <c r="B1943" t="str">
        <f>"094012000"</f>
        <v>094012000</v>
      </c>
      <c r="C1943" t="s">
        <v>6803</v>
      </c>
      <c r="D1943">
        <v>80082</v>
      </c>
      <c r="E1943" t="str">
        <f>"094012001"</f>
        <v>094012001</v>
      </c>
      <c r="F1943" t="s">
        <v>6808</v>
      </c>
      <c r="G1943" t="s">
        <v>42</v>
      </c>
      <c r="H1943" t="s">
        <v>2037</v>
      </c>
      <c r="I1943" t="s">
        <v>6804</v>
      </c>
      <c r="J1943" t="s">
        <v>6805</v>
      </c>
      <c r="K1943" t="str">
        <f>"9285246222"</f>
        <v>9285246222</v>
      </c>
      <c r="L1943" t="str">
        <f>""</f>
        <v/>
      </c>
      <c r="M1943" t="str">
        <f>"9285242231"</f>
        <v>9285242231</v>
      </c>
      <c r="N1943" t="str">
        <f>""</f>
        <v/>
      </c>
      <c r="O1943" t="s">
        <v>6806</v>
      </c>
      <c r="P1943" t="s">
        <v>6809</v>
      </c>
      <c r="Q1943" t="s">
        <v>6810</v>
      </c>
      <c r="R1943" t="s">
        <v>6811</v>
      </c>
      <c r="S1943" t="s">
        <v>36</v>
      </c>
      <c r="T1943" t="str">
        <f>"86025"</f>
        <v>86025</v>
      </c>
      <c r="U1943" t="str">
        <f>""</f>
        <v/>
      </c>
      <c r="V1943" t="s">
        <v>6809</v>
      </c>
      <c r="W1943" t="s">
        <v>6810</v>
      </c>
      <c r="X1943" t="s">
        <v>6811</v>
      </c>
      <c r="Y1943" t="s">
        <v>36</v>
      </c>
      <c r="Z1943" t="str">
        <f>"86025"</f>
        <v>86025</v>
      </c>
      <c r="AA1943" t="str">
        <f>""</f>
        <v/>
      </c>
      <c r="AB1943" t="s">
        <v>508</v>
      </c>
    </row>
    <row r="1944" spans="1:28" x14ac:dyDescent="0.25">
      <c r="A1944">
        <v>80085</v>
      </c>
      <c r="B1944" t="str">
        <f>"142002000"</f>
        <v>142002000</v>
      </c>
      <c r="C1944" t="s">
        <v>6812</v>
      </c>
      <c r="D1944">
        <v>0</v>
      </c>
      <c r="E1944" t="str">
        <f>""</f>
        <v/>
      </c>
      <c r="G1944" t="s">
        <v>29</v>
      </c>
      <c r="H1944" t="s">
        <v>6813</v>
      </c>
      <c r="I1944" t="s">
        <v>6814</v>
      </c>
      <c r="J1944" t="s">
        <v>6020</v>
      </c>
      <c r="K1944" t="str">
        <f>"9287835225"</f>
        <v>9287835225</v>
      </c>
      <c r="L1944" t="str">
        <f>""</f>
        <v/>
      </c>
      <c r="M1944" t="str">
        <f>""</f>
        <v/>
      </c>
      <c r="N1944" t="str">
        <f>""</f>
        <v/>
      </c>
      <c r="O1944" t="s">
        <v>6815</v>
      </c>
      <c r="P1944" t="s">
        <v>6816</v>
      </c>
      <c r="R1944" t="s">
        <v>5471</v>
      </c>
      <c r="S1944" t="s">
        <v>36</v>
      </c>
      <c r="T1944" t="str">
        <f>"85364"</f>
        <v>85364</v>
      </c>
      <c r="U1944" t="str">
        <f>""</f>
        <v/>
      </c>
      <c r="V1944" t="s">
        <v>6816</v>
      </c>
      <c r="X1944" t="s">
        <v>5471</v>
      </c>
      <c r="Y1944" t="s">
        <v>36</v>
      </c>
      <c r="Z1944" t="str">
        <f>"85364"</f>
        <v>85364</v>
      </c>
      <c r="AA1944" t="str">
        <f>""</f>
        <v/>
      </c>
      <c r="AB1944" t="s">
        <v>249</v>
      </c>
    </row>
    <row r="1945" spans="1:28" x14ac:dyDescent="0.25">
      <c r="A1945">
        <v>80085</v>
      </c>
      <c r="B1945" t="str">
        <f>"142002000"</f>
        <v>142002000</v>
      </c>
      <c r="C1945" t="s">
        <v>6812</v>
      </c>
      <c r="D1945">
        <v>80086</v>
      </c>
      <c r="E1945" t="str">
        <f>"142002001"</f>
        <v>142002001</v>
      </c>
      <c r="F1945" t="s">
        <v>6812</v>
      </c>
      <c r="G1945" t="s">
        <v>42</v>
      </c>
      <c r="H1945" t="s">
        <v>6813</v>
      </c>
      <c r="I1945" t="s">
        <v>6814</v>
      </c>
      <c r="J1945" t="s">
        <v>6281</v>
      </c>
      <c r="K1945" t="str">
        <f>"9287835225"</f>
        <v>9287835225</v>
      </c>
      <c r="L1945" t="str">
        <f>""</f>
        <v/>
      </c>
      <c r="M1945" t="str">
        <f>"9283430172"</f>
        <v>9283430172</v>
      </c>
      <c r="N1945" t="str">
        <f>""</f>
        <v/>
      </c>
      <c r="O1945" t="s">
        <v>6817</v>
      </c>
      <c r="P1945" t="s">
        <v>6818</v>
      </c>
      <c r="R1945" t="s">
        <v>5471</v>
      </c>
      <c r="S1945" t="s">
        <v>36</v>
      </c>
      <c r="T1945" t="str">
        <f>"85364"</f>
        <v>85364</v>
      </c>
      <c r="U1945" t="str">
        <f>""</f>
        <v/>
      </c>
      <c r="V1945" t="s">
        <v>6818</v>
      </c>
      <c r="X1945" t="s">
        <v>5471</v>
      </c>
      <c r="Y1945" t="s">
        <v>36</v>
      </c>
      <c r="Z1945" t="str">
        <f>"85364"</f>
        <v>85364</v>
      </c>
      <c r="AA1945" t="str">
        <f>""</f>
        <v/>
      </c>
      <c r="AB1945" t="s">
        <v>249</v>
      </c>
    </row>
    <row r="1946" spans="1:28" x14ac:dyDescent="0.25">
      <c r="A1946">
        <v>80089</v>
      </c>
      <c r="B1946" t="str">
        <f>"044015000"</f>
        <v>044015000</v>
      </c>
      <c r="C1946" t="s">
        <v>6819</v>
      </c>
      <c r="D1946">
        <v>0</v>
      </c>
      <c r="E1946" t="str">
        <f>""</f>
        <v/>
      </c>
      <c r="G1946" t="s">
        <v>29</v>
      </c>
      <c r="H1946" t="s">
        <v>6820</v>
      </c>
      <c r="I1946" t="s">
        <v>6821</v>
      </c>
      <c r="J1946" t="s">
        <v>486</v>
      </c>
      <c r="K1946" t="str">
        <f>"9283384593"</f>
        <v>9283384593</v>
      </c>
      <c r="L1946" t="str">
        <f>"1222"</f>
        <v>1222</v>
      </c>
      <c r="M1946" t="str">
        <f>"9283384592"</f>
        <v>9283384592</v>
      </c>
      <c r="N1946" t="str">
        <f>""</f>
        <v/>
      </c>
      <c r="O1946" t="s">
        <v>6822</v>
      </c>
      <c r="P1946" t="s">
        <v>5691</v>
      </c>
      <c r="R1946" t="s">
        <v>4107</v>
      </c>
      <c r="S1946" t="s">
        <v>36</v>
      </c>
      <c r="T1946" t="str">
        <f>"85491"</f>
        <v>85491</v>
      </c>
      <c r="U1946" t="str">
        <f>""</f>
        <v/>
      </c>
      <c r="V1946" t="s">
        <v>6823</v>
      </c>
      <c r="X1946" t="s">
        <v>4107</v>
      </c>
      <c r="Y1946" t="s">
        <v>36</v>
      </c>
      <c r="Z1946" t="str">
        <f>"85941"</f>
        <v>85941</v>
      </c>
      <c r="AA1946" t="str">
        <f>""</f>
        <v/>
      </c>
      <c r="AB1946" t="s">
        <v>40</v>
      </c>
    </row>
    <row r="1947" spans="1:28" x14ac:dyDescent="0.25">
      <c r="A1947">
        <v>80089</v>
      </c>
      <c r="B1947" t="str">
        <f>"044015000"</f>
        <v>044015000</v>
      </c>
      <c r="C1947" t="s">
        <v>6819</v>
      </c>
      <c r="D1947">
        <v>80090</v>
      </c>
      <c r="E1947" t="str">
        <f>"104001007"</f>
        <v>104001007</v>
      </c>
      <c r="F1947" t="s">
        <v>6819</v>
      </c>
      <c r="G1947" t="s">
        <v>42</v>
      </c>
      <c r="H1947" t="s">
        <v>1318</v>
      </c>
      <c r="I1947" t="s">
        <v>6824</v>
      </c>
      <c r="J1947" t="s">
        <v>6825</v>
      </c>
      <c r="K1947" t="str">
        <f>"9283384593"</f>
        <v>9283384593</v>
      </c>
      <c r="L1947" t="str">
        <f>"1255"</f>
        <v>1255</v>
      </c>
      <c r="M1947" t="str">
        <f>"9283384592"</f>
        <v>9283384592</v>
      </c>
      <c r="N1947" t="str">
        <f>""</f>
        <v/>
      </c>
      <c r="O1947" t="s">
        <v>6826</v>
      </c>
      <c r="P1947" t="s">
        <v>5691</v>
      </c>
      <c r="R1947" t="s">
        <v>4107</v>
      </c>
      <c r="S1947" t="s">
        <v>36</v>
      </c>
      <c r="T1947" t="str">
        <f>"85941"</f>
        <v>85941</v>
      </c>
      <c r="U1947" t="str">
        <f>""</f>
        <v/>
      </c>
      <c r="V1947" t="s">
        <v>6823</v>
      </c>
      <c r="X1947" t="s">
        <v>4107</v>
      </c>
      <c r="Y1947" t="s">
        <v>36</v>
      </c>
      <c r="Z1947" t="str">
        <f>"85941"</f>
        <v>85941</v>
      </c>
      <c r="AA1947" t="str">
        <f>""</f>
        <v/>
      </c>
      <c r="AB1947" t="s">
        <v>40</v>
      </c>
    </row>
    <row r="1948" spans="1:28" x14ac:dyDescent="0.25">
      <c r="A1948">
        <v>80092</v>
      </c>
      <c r="B1948" t="str">
        <f>"034003000"</f>
        <v>034003000</v>
      </c>
      <c r="C1948" t="s">
        <v>6827</v>
      </c>
      <c r="D1948">
        <v>0</v>
      </c>
      <c r="E1948" t="str">
        <f>""</f>
        <v/>
      </c>
      <c r="G1948" t="s">
        <v>29</v>
      </c>
      <c r="H1948" t="s">
        <v>4419</v>
      </c>
      <c r="I1948" t="s">
        <v>150</v>
      </c>
      <c r="J1948" t="s">
        <v>6172</v>
      </c>
      <c r="K1948" t="str">
        <f>"9286733480"</f>
        <v>9286733480</v>
      </c>
      <c r="L1948" t="str">
        <f>"2423"</f>
        <v>2423</v>
      </c>
      <c r="M1948" t="str">
        <f>"9286733489"</f>
        <v>9286733489</v>
      </c>
      <c r="N1948" t="str">
        <f>""</f>
        <v/>
      </c>
      <c r="O1948" t="s">
        <v>6828</v>
      </c>
      <c r="P1948" t="s">
        <v>6829</v>
      </c>
      <c r="R1948" t="s">
        <v>6830</v>
      </c>
      <c r="S1948" t="s">
        <v>36</v>
      </c>
      <c r="T1948" t="str">
        <f>"86053"</f>
        <v>86053</v>
      </c>
      <c r="U1948" t="str">
        <f>"1420"</f>
        <v>1420</v>
      </c>
      <c r="V1948" t="s">
        <v>6831</v>
      </c>
      <c r="X1948" t="s">
        <v>6830</v>
      </c>
      <c r="Y1948" t="s">
        <v>36</v>
      </c>
      <c r="Z1948" t="str">
        <f>"86053"</f>
        <v>86053</v>
      </c>
      <c r="AA1948" t="str">
        <f>"1420"</f>
        <v>1420</v>
      </c>
      <c r="AB1948" t="s">
        <v>86</v>
      </c>
    </row>
    <row r="1949" spans="1:28" x14ac:dyDescent="0.25">
      <c r="A1949">
        <v>80092</v>
      </c>
      <c r="B1949" t="str">
        <f>"034003000"</f>
        <v>034003000</v>
      </c>
      <c r="C1949" t="s">
        <v>6827</v>
      </c>
      <c r="D1949">
        <v>80093</v>
      </c>
      <c r="E1949" t="str">
        <f>"033904004"</f>
        <v>033904004</v>
      </c>
      <c r="F1949" t="s">
        <v>6827</v>
      </c>
      <c r="G1949" t="s">
        <v>42</v>
      </c>
      <c r="H1949" t="s">
        <v>4419</v>
      </c>
      <c r="I1949" t="s">
        <v>150</v>
      </c>
      <c r="J1949" t="s">
        <v>3763</v>
      </c>
      <c r="K1949" t="str">
        <f>"9286733480"</f>
        <v>9286733480</v>
      </c>
      <c r="L1949" t="str">
        <f>"2423"</f>
        <v>2423</v>
      </c>
      <c r="M1949" t="str">
        <f>"9286733239"</f>
        <v>9286733239</v>
      </c>
      <c r="N1949" t="str">
        <f>""</f>
        <v/>
      </c>
      <c r="O1949" t="s">
        <v>6832</v>
      </c>
      <c r="P1949" t="s">
        <v>6833</v>
      </c>
      <c r="Q1949" t="s">
        <v>6834</v>
      </c>
      <c r="R1949" t="s">
        <v>6830</v>
      </c>
      <c r="S1949" t="s">
        <v>36</v>
      </c>
      <c r="T1949" t="str">
        <f>"86053"</f>
        <v>86053</v>
      </c>
      <c r="U1949" t="str">
        <f>""</f>
        <v/>
      </c>
      <c r="V1949" t="s">
        <v>6833</v>
      </c>
      <c r="W1949" t="s">
        <v>6835</v>
      </c>
      <c r="X1949" t="s">
        <v>6830</v>
      </c>
      <c r="Y1949" t="s">
        <v>36</v>
      </c>
      <c r="Z1949" t="str">
        <f>"86053"</f>
        <v>86053</v>
      </c>
      <c r="AA1949" t="str">
        <f>""</f>
        <v/>
      </c>
      <c r="AB1949" t="s">
        <v>86</v>
      </c>
    </row>
    <row r="1950" spans="1:28" x14ac:dyDescent="0.25">
      <c r="A1950">
        <v>80103</v>
      </c>
      <c r="B1950" t="str">
        <f>"012002000"</f>
        <v>012002000</v>
      </c>
      <c r="C1950" t="s">
        <v>6836</v>
      </c>
      <c r="D1950">
        <v>0</v>
      </c>
      <c r="E1950" t="str">
        <f>""</f>
        <v/>
      </c>
      <c r="G1950" t="s">
        <v>29</v>
      </c>
      <c r="H1950" t="s">
        <v>1906</v>
      </c>
      <c r="I1950" t="s">
        <v>6837</v>
      </c>
      <c r="J1950" t="s">
        <v>195</v>
      </c>
      <c r="K1950" t="str">
        <f>"9286594202"</f>
        <v>9286594202</v>
      </c>
      <c r="L1950" t="str">
        <f>""</f>
        <v/>
      </c>
      <c r="M1950" t="str">
        <f>"9286594255"</f>
        <v>9286594255</v>
      </c>
      <c r="N1950" t="str">
        <f>""</f>
        <v/>
      </c>
      <c r="O1950" t="s">
        <v>6838</v>
      </c>
      <c r="P1950" t="s">
        <v>6839</v>
      </c>
      <c r="Q1950" t="s">
        <v>6840</v>
      </c>
      <c r="R1950" t="s">
        <v>6841</v>
      </c>
      <c r="S1950" t="s">
        <v>36</v>
      </c>
      <c r="T1950" t="str">
        <f>"86545"</f>
        <v>86545</v>
      </c>
      <c r="U1950" t="str">
        <f>"0354"</f>
        <v>0354</v>
      </c>
      <c r="V1950" t="s">
        <v>6839</v>
      </c>
      <c r="W1950" t="s">
        <v>6840</v>
      </c>
      <c r="X1950" t="s">
        <v>6841</v>
      </c>
      <c r="Y1950" t="s">
        <v>36</v>
      </c>
      <c r="Z1950" t="str">
        <f>"86545"</f>
        <v>86545</v>
      </c>
      <c r="AA1950" t="str">
        <f>"0354"</f>
        <v>0354</v>
      </c>
      <c r="AB1950" t="s">
        <v>282</v>
      </c>
    </row>
    <row r="1951" spans="1:28" x14ac:dyDescent="0.25">
      <c r="A1951">
        <v>80103</v>
      </c>
      <c r="B1951" t="str">
        <f>"012002000"</f>
        <v>012002000</v>
      </c>
      <c r="C1951" t="s">
        <v>6836</v>
      </c>
      <c r="D1951">
        <v>80104</v>
      </c>
      <c r="E1951" t="str">
        <f>"012002001"</f>
        <v>012002001</v>
      </c>
      <c r="F1951" t="s">
        <v>6836</v>
      </c>
      <c r="G1951" t="s">
        <v>42</v>
      </c>
      <c r="H1951" t="s">
        <v>4542</v>
      </c>
      <c r="I1951" t="s">
        <v>6837</v>
      </c>
      <c r="J1951" t="s">
        <v>195</v>
      </c>
      <c r="K1951" t="str">
        <f>"9286594202"</f>
        <v>9286594202</v>
      </c>
      <c r="L1951" t="str">
        <f>"4215"</f>
        <v>4215</v>
      </c>
      <c r="M1951" t="str">
        <f>"9286594255"</f>
        <v>9286594255</v>
      </c>
      <c r="N1951" t="str">
        <f>""</f>
        <v/>
      </c>
      <c r="O1951" t="s">
        <v>6842</v>
      </c>
      <c r="P1951" t="s">
        <v>6843</v>
      </c>
      <c r="Q1951" t="s">
        <v>6844</v>
      </c>
      <c r="R1951" t="s">
        <v>6841</v>
      </c>
      <c r="S1951" t="s">
        <v>36</v>
      </c>
      <c r="T1951" t="str">
        <f>"86545"</f>
        <v>86545</v>
      </c>
      <c r="U1951" t="str">
        <f>""</f>
        <v/>
      </c>
      <c r="V1951" t="s">
        <v>6845</v>
      </c>
      <c r="W1951" t="s">
        <v>6840</v>
      </c>
      <c r="X1951" t="s">
        <v>6841</v>
      </c>
      <c r="Y1951" t="s">
        <v>36</v>
      </c>
      <c r="Z1951" t="str">
        <f>"86545"</f>
        <v>86545</v>
      </c>
      <c r="AA1951" t="str">
        <f>""</f>
        <v/>
      </c>
      <c r="AB1951" t="s">
        <v>282</v>
      </c>
    </row>
    <row r="1952" spans="1:28" x14ac:dyDescent="0.25">
      <c r="A1952">
        <v>80120</v>
      </c>
      <c r="B1952" t="str">
        <f>"072008000"</f>
        <v>072008000</v>
      </c>
      <c r="C1952" t="s">
        <v>6846</v>
      </c>
      <c r="D1952">
        <v>0</v>
      </c>
      <c r="E1952" t="str">
        <f>""</f>
        <v/>
      </c>
      <c r="G1952" t="s">
        <v>29</v>
      </c>
      <c r="H1952" t="s">
        <v>467</v>
      </c>
      <c r="I1952" t="s">
        <v>3738</v>
      </c>
      <c r="J1952" t="s">
        <v>315</v>
      </c>
      <c r="K1952" t="str">
        <f>"6239317288"</f>
        <v>6239317288</v>
      </c>
      <c r="L1952" t="str">
        <f>""</f>
        <v/>
      </c>
      <c r="M1952" t="str">
        <f>"6239300256"</f>
        <v>6239300256</v>
      </c>
      <c r="N1952" t="str">
        <f>""</f>
        <v/>
      </c>
      <c r="O1952" t="s">
        <v>6847</v>
      </c>
      <c r="P1952" t="s">
        <v>6848</v>
      </c>
      <c r="Q1952" t="s">
        <v>6849</v>
      </c>
      <c r="R1952" t="s">
        <v>1173</v>
      </c>
      <c r="S1952" t="s">
        <v>36</v>
      </c>
      <c r="T1952" t="str">
        <f>"85301"</f>
        <v>85301</v>
      </c>
      <c r="U1952" t="str">
        <f>""</f>
        <v/>
      </c>
      <c r="V1952" t="s">
        <v>6848</v>
      </c>
      <c r="W1952" t="s">
        <v>6849</v>
      </c>
      <c r="X1952" t="s">
        <v>1173</v>
      </c>
      <c r="Y1952" t="s">
        <v>36</v>
      </c>
      <c r="Z1952" t="str">
        <f>"85301"</f>
        <v>85301</v>
      </c>
      <c r="AA1952" t="str">
        <f>""</f>
        <v/>
      </c>
      <c r="AB1952" t="s">
        <v>86</v>
      </c>
    </row>
    <row r="1953" spans="1:28" x14ac:dyDescent="0.25">
      <c r="A1953">
        <v>80120</v>
      </c>
      <c r="B1953" t="str">
        <f>"072008000"</f>
        <v>072008000</v>
      </c>
      <c r="C1953" t="s">
        <v>6846</v>
      </c>
      <c r="D1953">
        <v>80121</v>
      </c>
      <c r="E1953" t="str">
        <f>"072008001"</f>
        <v>072008001</v>
      </c>
      <c r="F1953" t="s">
        <v>6846</v>
      </c>
      <c r="G1953" t="s">
        <v>42</v>
      </c>
      <c r="H1953" t="s">
        <v>467</v>
      </c>
      <c r="I1953" t="s">
        <v>3738</v>
      </c>
      <c r="J1953" t="s">
        <v>315</v>
      </c>
      <c r="K1953" t="str">
        <f>"6239317288"</f>
        <v>6239317288</v>
      </c>
      <c r="L1953" t="str">
        <f>""</f>
        <v/>
      </c>
      <c r="M1953" t="str">
        <f>"6239300256"</f>
        <v>6239300256</v>
      </c>
      <c r="N1953" t="str">
        <f>""</f>
        <v/>
      </c>
      <c r="O1953" t="s">
        <v>6847</v>
      </c>
      <c r="P1953" t="s">
        <v>6850</v>
      </c>
      <c r="R1953" t="s">
        <v>1173</v>
      </c>
      <c r="S1953" t="s">
        <v>36</v>
      </c>
      <c r="T1953" t="str">
        <f>"85301"</f>
        <v>85301</v>
      </c>
      <c r="U1953" t="str">
        <f>""</f>
        <v/>
      </c>
      <c r="V1953" t="s">
        <v>6850</v>
      </c>
      <c r="W1953" t="s">
        <v>6851</v>
      </c>
      <c r="X1953" t="s">
        <v>1173</v>
      </c>
      <c r="Y1953" t="s">
        <v>36</v>
      </c>
      <c r="Z1953" t="str">
        <f>"85301"</f>
        <v>85301</v>
      </c>
      <c r="AA1953" t="str">
        <f>""</f>
        <v/>
      </c>
      <c r="AB1953" t="s">
        <v>86</v>
      </c>
    </row>
    <row r="1954" spans="1:28" x14ac:dyDescent="0.25">
      <c r="A1954">
        <v>80126</v>
      </c>
      <c r="B1954" t="str">
        <f>"104001000"</f>
        <v>104001000</v>
      </c>
      <c r="C1954" t="s">
        <v>6852</v>
      </c>
      <c r="D1954">
        <v>0</v>
      </c>
      <c r="E1954" t="str">
        <f>""</f>
        <v/>
      </c>
      <c r="G1954" t="s">
        <v>29</v>
      </c>
      <c r="H1954" t="s">
        <v>3667</v>
      </c>
      <c r="I1954" t="s">
        <v>1415</v>
      </c>
      <c r="J1954" t="s">
        <v>486</v>
      </c>
      <c r="K1954" t="str">
        <f>"5203622231"</f>
        <v>5203622231</v>
      </c>
      <c r="L1954" t="str">
        <f>""</f>
        <v/>
      </c>
      <c r="M1954" t="str">
        <f>"5203622405"</f>
        <v>5203622405</v>
      </c>
      <c r="N1954" t="str">
        <f>""</f>
        <v/>
      </c>
      <c r="O1954" t="s">
        <v>6853</v>
      </c>
      <c r="P1954" t="s">
        <v>6854</v>
      </c>
      <c r="R1954" t="s">
        <v>4616</v>
      </c>
      <c r="S1954" t="s">
        <v>36</v>
      </c>
      <c r="T1954" t="str">
        <f>"85634"</f>
        <v>85634</v>
      </c>
      <c r="U1954" t="str">
        <f>""</f>
        <v/>
      </c>
      <c r="V1954" t="s">
        <v>6855</v>
      </c>
      <c r="W1954" t="s">
        <v>6856</v>
      </c>
      <c r="X1954" t="s">
        <v>4616</v>
      </c>
      <c r="Y1954" t="s">
        <v>36</v>
      </c>
      <c r="Z1954" t="str">
        <f>"85634"</f>
        <v>85634</v>
      </c>
      <c r="AA1954" t="str">
        <f>""</f>
        <v/>
      </c>
      <c r="AB1954" t="s">
        <v>56</v>
      </c>
    </row>
    <row r="1955" spans="1:28" x14ac:dyDescent="0.25">
      <c r="A1955">
        <v>80126</v>
      </c>
      <c r="B1955" t="str">
        <f>"104001000"</f>
        <v>104001000</v>
      </c>
      <c r="C1955" t="s">
        <v>6852</v>
      </c>
      <c r="D1955">
        <v>80127</v>
      </c>
      <c r="E1955" t="str">
        <f>"104001001"</f>
        <v>104001001</v>
      </c>
      <c r="F1955" t="s">
        <v>312</v>
      </c>
      <c r="G1955" t="s">
        <v>42</v>
      </c>
      <c r="H1955" t="s">
        <v>6857</v>
      </c>
      <c r="I1955" t="s">
        <v>6858</v>
      </c>
      <c r="J1955" t="s">
        <v>6859</v>
      </c>
      <c r="K1955" t="str">
        <f>"5203622232"</f>
        <v>5203622232</v>
      </c>
      <c r="L1955" t="str">
        <f>""</f>
        <v/>
      </c>
      <c r="M1955" t="str">
        <f>"5203622405"</f>
        <v>5203622405</v>
      </c>
      <c r="N1955" t="str">
        <f>""</f>
        <v/>
      </c>
      <c r="O1955" t="s">
        <v>6860</v>
      </c>
      <c r="P1955" t="s">
        <v>6861</v>
      </c>
      <c r="R1955" t="s">
        <v>4616</v>
      </c>
      <c r="S1955" t="s">
        <v>36</v>
      </c>
      <c r="T1955" t="str">
        <f>"85634"</f>
        <v>85634</v>
      </c>
      <c r="U1955" t="str">
        <f>""</f>
        <v/>
      </c>
      <c r="V1955" t="s">
        <v>6862</v>
      </c>
      <c r="X1955" t="s">
        <v>4616</v>
      </c>
      <c r="Y1955" t="s">
        <v>36</v>
      </c>
      <c r="Z1955" t="str">
        <f>"85634"</f>
        <v>85634</v>
      </c>
      <c r="AA1955" t="str">
        <f>""</f>
        <v/>
      </c>
      <c r="AB1955" t="s">
        <v>56</v>
      </c>
    </row>
    <row r="1956" spans="1:28" x14ac:dyDescent="0.25">
      <c r="A1956">
        <v>80126</v>
      </c>
      <c r="B1956" t="str">
        <f>"104001000"</f>
        <v>104001000</v>
      </c>
      <c r="C1956" t="s">
        <v>6852</v>
      </c>
      <c r="D1956">
        <v>80453</v>
      </c>
      <c r="E1956" t="str">
        <f>"104001101"</f>
        <v>104001101</v>
      </c>
      <c r="F1956" t="s">
        <v>6863</v>
      </c>
      <c r="G1956" t="s">
        <v>42</v>
      </c>
      <c r="H1956" t="s">
        <v>6864</v>
      </c>
      <c r="I1956" t="s">
        <v>4847</v>
      </c>
      <c r="J1956" t="s">
        <v>6859</v>
      </c>
      <c r="K1956" t="str">
        <f>"5203622400"</f>
        <v>5203622400</v>
      </c>
      <c r="L1956" t="str">
        <f>""</f>
        <v/>
      </c>
      <c r="M1956" t="str">
        <f>"5203622256"</f>
        <v>5203622256</v>
      </c>
      <c r="N1956" t="str">
        <f>""</f>
        <v/>
      </c>
      <c r="O1956" t="s">
        <v>6865</v>
      </c>
      <c r="P1956" t="s">
        <v>6866</v>
      </c>
      <c r="Q1956" t="s">
        <v>6867</v>
      </c>
      <c r="R1956" t="s">
        <v>4616</v>
      </c>
      <c r="S1956" t="s">
        <v>36</v>
      </c>
      <c r="T1956" t="str">
        <f>"85634"</f>
        <v>85634</v>
      </c>
      <c r="U1956" t="str">
        <f>""</f>
        <v/>
      </c>
      <c r="V1956" t="s">
        <v>6866</v>
      </c>
      <c r="W1956" t="s">
        <v>6867</v>
      </c>
      <c r="X1956" t="s">
        <v>4616</v>
      </c>
      <c r="Y1956" t="s">
        <v>36</v>
      </c>
      <c r="Z1956" t="str">
        <f>"85634"</f>
        <v>85634</v>
      </c>
      <c r="AA1956" t="str">
        <f>""</f>
        <v/>
      </c>
      <c r="AB1956" t="s">
        <v>56</v>
      </c>
    </row>
    <row r="1957" spans="1:28" x14ac:dyDescent="0.25">
      <c r="A1957">
        <v>80126</v>
      </c>
      <c r="B1957" t="str">
        <f>"104001000"</f>
        <v>104001000</v>
      </c>
      <c r="C1957" t="s">
        <v>6852</v>
      </c>
      <c r="D1957">
        <v>80454</v>
      </c>
      <c r="E1957" t="str">
        <f>"104001002"</f>
        <v>104001002</v>
      </c>
      <c r="F1957" t="s">
        <v>6868</v>
      </c>
      <c r="G1957" t="s">
        <v>42</v>
      </c>
      <c r="H1957" t="s">
        <v>3359</v>
      </c>
      <c r="I1957" t="s">
        <v>6869</v>
      </c>
      <c r="J1957" t="s">
        <v>6859</v>
      </c>
      <c r="K1957" t="str">
        <f>"5203612231"</f>
        <v>5203612231</v>
      </c>
      <c r="L1957" t="str">
        <f>""</f>
        <v/>
      </c>
      <c r="M1957" t="str">
        <f>"5203613321"</f>
        <v>5203613321</v>
      </c>
      <c r="N1957" t="str">
        <f>""</f>
        <v/>
      </c>
      <c r="O1957" t="s">
        <v>6870</v>
      </c>
      <c r="P1957" t="s">
        <v>6871</v>
      </c>
      <c r="Q1957" t="s">
        <v>6872</v>
      </c>
      <c r="R1957" t="s">
        <v>4616</v>
      </c>
      <c r="S1957" t="s">
        <v>36</v>
      </c>
      <c r="T1957" t="str">
        <f>"85634"</f>
        <v>85634</v>
      </c>
      <c r="U1957" t="str">
        <f>""</f>
        <v/>
      </c>
      <c r="V1957" t="s">
        <v>6871</v>
      </c>
      <c r="W1957" t="s">
        <v>6872</v>
      </c>
      <c r="X1957" t="s">
        <v>4616</v>
      </c>
      <c r="Y1957" t="s">
        <v>36</v>
      </c>
      <c r="Z1957" t="str">
        <f>"85634"</f>
        <v>85634</v>
      </c>
      <c r="AA1957" t="str">
        <f>""</f>
        <v/>
      </c>
      <c r="AB1957" t="s">
        <v>56</v>
      </c>
    </row>
    <row r="1958" spans="1:28" x14ac:dyDescent="0.25">
      <c r="A1958">
        <v>80126</v>
      </c>
      <c r="B1958" t="str">
        <f>"104001000"</f>
        <v>104001000</v>
      </c>
      <c r="C1958" t="s">
        <v>6852</v>
      </c>
      <c r="D1958">
        <v>80455</v>
      </c>
      <c r="E1958" t="str">
        <f>"104001003"</f>
        <v>104001003</v>
      </c>
      <c r="F1958" t="s">
        <v>6873</v>
      </c>
      <c r="G1958" t="s">
        <v>42</v>
      </c>
      <c r="H1958" t="s">
        <v>2999</v>
      </c>
      <c r="I1958" t="s">
        <v>3485</v>
      </c>
      <c r="J1958" t="s">
        <v>6874</v>
      </c>
      <c r="K1958" t="str">
        <f>"5203832359"</f>
        <v>5203832359</v>
      </c>
      <c r="L1958" t="str">
        <f>""</f>
        <v/>
      </c>
      <c r="M1958" t="str">
        <f>"5203833960"</f>
        <v>5203833960</v>
      </c>
      <c r="N1958" t="str">
        <f>""</f>
        <v/>
      </c>
      <c r="O1958" t="s">
        <v>6875</v>
      </c>
      <c r="P1958" t="s">
        <v>6876</v>
      </c>
      <c r="R1958" t="s">
        <v>4616</v>
      </c>
      <c r="S1958" t="s">
        <v>36</v>
      </c>
      <c r="T1958" t="str">
        <f>"85634"</f>
        <v>85634</v>
      </c>
      <c r="U1958" t="str">
        <f>""</f>
        <v/>
      </c>
      <c r="V1958" t="s">
        <v>6877</v>
      </c>
      <c r="W1958" t="s">
        <v>6878</v>
      </c>
      <c r="X1958" t="s">
        <v>4616</v>
      </c>
      <c r="Y1958" t="s">
        <v>36</v>
      </c>
      <c r="Z1958" t="str">
        <f>"85634"</f>
        <v>85634</v>
      </c>
      <c r="AA1958" t="str">
        <f>""</f>
        <v/>
      </c>
      <c r="AB1958" t="s">
        <v>56</v>
      </c>
    </row>
    <row r="1959" spans="1:28" x14ac:dyDescent="0.25">
      <c r="A1959">
        <v>80130</v>
      </c>
      <c r="B1959" t="str">
        <f>"042002000"</f>
        <v>042002000</v>
      </c>
      <c r="C1959" t="s">
        <v>6879</v>
      </c>
      <c r="D1959">
        <v>0</v>
      </c>
      <c r="E1959" t="str">
        <f>""</f>
        <v/>
      </c>
      <c r="G1959" t="s">
        <v>29</v>
      </c>
      <c r="H1959" t="s">
        <v>3752</v>
      </c>
      <c r="I1959" t="s">
        <v>6880</v>
      </c>
      <c r="J1959" t="s">
        <v>782</v>
      </c>
      <c r="K1959" t="str">
        <f>"9282469581"</f>
        <v>9282469581</v>
      </c>
      <c r="L1959" t="str">
        <f>""</f>
        <v/>
      </c>
      <c r="M1959" t="str">
        <f>""</f>
        <v/>
      </c>
      <c r="N1959" t="str">
        <f>""</f>
        <v/>
      </c>
      <c r="O1959" t="s">
        <v>6881</v>
      </c>
      <c r="P1959" t="s">
        <v>6882</v>
      </c>
      <c r="R1959" t="s">
        <v>6883</v>
      </c>
      <c r="S1959" t="s">
        <v>36</v>
      </c>
      <c r="T1959" t="str">
        <f>"85542"</f>
        <v>85542</v>
      </c>
      <c r="U1959" t="str">
        <f>"0118"</f>
        <v>0118</v>
      </c>
      <c r="V1959" t="s">
        <v>6884</v>
      </c>
      <c r="X1959" t="s">
        <v>6883</v>
      </c>
      <c r="Y1959" t="s">
        <v>36</v>
      </c>
      <c r="Z1959" t="str">
        <f>"85542"</f>
        <v>85542</v>
      </c>
      <c r="AA1959" t="str">
        <f>""</f>
        <v/>
      </c>
      <c r="AB1959" t="s">
        <v>821</v>
      </c>
    </row>
    <row r="1960" spans="1:28" x14ac:dyDescent="0.25">
      <c r="A1960">
        <v>80130</v>
      </c>
      <c r="B1960" t="str">
        <f>"042002000"</f>
        <v>042002000</v>
      </c>
      <c r="C1960" t="s">
        <v>6879</v>
      </c>
      <c r="D1960">
        <v>80131</v>
      </c>
      <c r="E1960" t="str">
        <f>"042002001"</f>
        <v>042002001</v>
      </c>
      <c r="F1960" t="s">
        <v>6885</v>
      </c>
      <c r="G1960" t="s">
        <v>42</v>
      </c>
      <c r="H1960" t="s">
        <v>6886</v>
      </c>
      <c r="I1960" t="s">
        <v>6887</v>
      </c>
      <c r="J1960" t="s">
        <v>926</v>
      </c>
      <c r="K1960" t="str">
        <f>"9284757537"</f>
        <v>9284757537</v>
      </c>
      <c r="L1960" t="str">
        <f>""</f>
        <v/>
      </c>
      <c r="M1960" t="str">
        <f>""</f>
        <v/>
      </c>
      <c r="N1960" t="str">
        <f>""</f>
        <v/>
      </c>
      <c r="O1960" t="s">
        <v>6888</v>
      </c>
      <c r="P1960" t="s">
        <v>6889</v>
      </c>
      <c r="R1960" t="s">
        <v>6883</v>
      </c>
      <c r="S1960" t="s">
        <v>36</v>
      </c>
      <c r="T1960" t="str">
        <f>"85542"</f>
        <v>85542</v>
      </c>
      <c r="U1960" t="str">
        <f>"0118"</f>
        <v>0118</v>
      </c>
      <c r="V1960" t="s">
        <v>6890</v>
      </c>
      <c r="X1960" t="s">
        <v>6883</v>
      </c>
      <c r="Y1960" t="s">
        <v>36</v>
      </c>
      <c r="Z1960" t="str">
        <f>"85542"</f>
        <v>85542</v>
      </c>
      <c r="AA1960" t="str">
        <f>""</f>
        <v/>
      </c>
      <c r="AB1960" t="s">
        <v>821</v>
      </c>
    </row>
    <row r="1961" spans="1:28" x14ac:dyDescent="0.25">
      <c r="A1961">
        <v>80136</v>
      </c>
      <c r="B1961" t="str">
        <f>"101002000"</f>
        <v>101002000</v>
      </c>
      <c r="C1961" t="s">
        <v>6891</v>
      </c>
      <c r="D1961">
        <v>0</v>
      </c>
      <c r="E1961" t="str">
        <f>""</f>
        <v/>
      </c>
      <c r="G1961" t="s">
        <v>29</v>
      </c>
      <c r="H1961" t="s">
        <v>6892</v>
      </c>
      <c r="I1961" t="s">
        <v>6893</v>
      </c>
      <c r="J1961" t="s">
        <v>520</v>
      </c>
      <c r="K1961" t="str">
        <f>"5203518397"</f>
        <v>5203518397</v>
      </c>
      <c r="L1961" t="str">
        <f>""</f>
        <v/>
      </c>
      <c r="M1961" t="str">
        <f>""</f>
        <v/>
      </c>
      <c r="N1961" t="str">
        <f>""</f>
        <v/>
      </c>
      <c r="O1961" t="s">
        <v>6894</v>
      </c>
      <c r="P1961" t="s">
        <v>6895</v>
      </c>
      <c r="R1961" t="s">
        <v>4169</v>
      </c>
      <c r="S1961" t="s">
        <v>36</v>
      </c>
      <c r="T1961" t="str">
        <f>"85714"</f>
        <v>85714</v>
      </c>
      <c r="U1961" t="str">
        <f>""</f>
        <v/>
      </c>
      <c r="V1961" t="s">
        <v>6896</v>
      </c>
      <c r="X1961" t="s">
        <v>4169</v>
      </c>
      <c r="Y1961" t="s">
        <v>36</v>
      </c>
      <c r="Z1961" t="str">
        <f>"85713"</f>
        <v>85713</v>
      </c>
      <c r="AA1961" t="str">
        <f>""</f>
        <v/>
      </c>
      <c r="AB1961" t="s">
        <v>86</v>
      </c>
    </row>
    <row r="1962" spans="1:28" x14ac:dyDescent="0.25">
      <c r="A1962">
        <v>80136</v>
      </c>
      <c r="B1962" t="str">
        <f>"101002000"</f>
        <v>101002000</v>
      </c>
      <c r="C1962" t="s">
        <v>6891</v>
      </c>
      <c r="D1962">
        <v>80137</v>
      </c>
      <c r="E1962" t="str">
        <f>"101002001"</f>
        <v>101002001</v>
      </c>
      <c r="F1962" t="s">
        <v>6897</v>
      </c>
      <c r="G1962" t="s">
        <v>42</v>
      </c>
      <c r="H1962" t="s">
        <v>6892</v>
      </c>
      <c r="I1962" t="s">
        <v>6893</v>
      </c>
      <c r="J1962" t="s">
        <v>520</v>
      </c>
      <c r="K1962" t="str">
        <f>"5203518397"</f>
        <v>5203518397</v>
      </c>
      <c r="L1962" t="str">
        <f>"0"</f>
        <v>0</v>
      </c>
      <c r="M1962" t="str">
        <f>"5203518233"</f>
        <v>5203518233</v>
      </c>
      <c r="N1962" t="str">
        <f>"0"</f>
        <v>0</v>
      </c>
      <c r="O1962" t="s">
        <v>6894</v>
      </c>
      <c r="P1962" t="s">
        <v>6895</v>
      </c>
      <c r="R1962" t="s">
        <v>4169</v>
      </c>
      <c r="S1962" t="s">
        <v>36</v>
      </c>
      <c r="T1962" t="str">
        <f>"85714"</f>
        <v>85714</v>
      </c>
      <c r="U1962" t="str">
        <f>""</f>
        <v/>
      </c>
      <c r="V1962" t="s">
        <v>6896</v>
      </c>
      <c r="X1962" t="s">
        <v>4169</v>
      </c>
      <c r="Y1962" t="s">
        <v>36</v>
      </c>
      <c r="Z1962" t="str">
        <f>"85713"</f>
        <v>85713</v>
      </c>
      <c r="AA1962" t="str">
        <f>""</f>
        <v/>
      </c>
      <c r="AB1962" t="s">
        <v>86</v>
      </c>
    </row>
    <row r="1963" spans="1:28" x14ac:dyDescent="0.25">
      <c r="A1963">
        <v>80138</v>
      </c>
      <c r="B1963" t="str">
        <f>"101001000"</f>
        <v>101001000</v>
      </c>
      <c r="C1963" t="s">
        <v>6898</v>
      </c>
      <c r="D1963">
        <v>0</v>
      </c>
      <c r="E1963" t="str">
        <f>""</f>
        <v/>
      </c>
      <c r="G1963" t="s">
        <v>29</v>
      </c>
      <c r="H1963" t="s">
        <v>1160</v>
      </c>
      <c r="I1963" t="s">
        <v>6899</v>
      </c>
      <c r="J1963" t="s">
        <v>6900</v>
      </c>
      <c r="K1963" t="str">
        <f>"5207249843"</f>
        <v>5207249843</v>
      </c>
      <c r="L1963" t="str">
        <f>""</f>
        <v/>
      </c>
      <c r="M1963" t="str">
        <f>""</f>
        <v/>
      </c>
      <c r="N1963" t="str">
        <f>""</f>
        <v/>
      </c>
      <c r="O1963" t="s">
        <v>6901</v>
      </c>
      <c r="P1963" t="s">
        <v>6902</v>
      </c>
      <c r="R1963" t="s">
        <v>4169</v>
      </c>
      <c r="S1963" t="s">
        <v>36</v>
      </c>
      <c r="T1963" t="str">
        <f>"85713"</f>
        <v>85713</v>
      </c>
      <c r="U1963" t="str">
        <f>"6295"</f>
        <v>6295</v>
      </c>
      <c r="V1963" t="s">
        <v>6902</v>
      </c>
      <c r="X1963" t="s">
        <v>4169</v>
      </c>
      <c r="Y1963" t="s">
        <v>36</v>
      </c>
      <c r="Z1963" t="str">
        <f>"85713"</f>
        <v>85713</v>
      </c>
      <c r="AA1963" t="str">
        <f>"6295"</f>
        <v>6295</v>
      </c>
      <c r="AB1963" t="s">
        <v>2345</v>
      </c>
    </row>
    <row r="1964" spans="1:28" x14ac:dyDescent="0.25">
      <c r="A1964">
        <v>80138</v>
      </c>
      <c r="B1964" t="str">
        <f>"101001000"</f>
        <v>101001000</v>
      </c>
      <c r="C1964" t="s">
        <v>6898</v>
      </c>
      <c r="D1964">
        <v>80139</v>
      </c>
      <c r="E1964" t="str">
        <f>"101001001"</f>
        <v>101001001</v>
      </c>
      <c r="F1964" t="s">
        <v>6903</v>
      </c>
      <c r="G1964" t="s">
        <v>42</v>
      </c>
      <c r="H1964" t="s">
        <v>6904</v>
      </c>
      <c r="I1964" t="s">
        <v>6905</v>
      </c>
      <c r="J1964" t="s">
        <v>6906</v>
      </c>
      <c r="K1964" t="str">
        <f>"5207249499"</f>
        <v>5207249499</v>
      </c>
      <c r="L1964" t="str">
        <f>""</f>
        <v/>
      </c>
      <c r="M1964" t="str">
        <f>"5207249501"</f>
        <v>5207249501</v>
      </c>
      <c r="N1964" t="str">
        <f>""</f>
        <v/>
      </c>
      <c r="O1964" t="s">
        <v>6907</v>
      </c>
      <c r="P1964" t="s">
        <v>6902</v>
      </c>
      <c r="R1964" t="s">
        <v>4169</v>
      </c>
      <c r="S1964" t="s">
        <v>36</v>
      </c>
      <c r="T1964" t="str">
        <f>"85713"</f>
        <v>85713</v>
      </c>
      <c r="U1964" t="str">
        <f>"6295"</f>
        <v>6295</v>
      </c>
      <c r="V1964" t="s">
        <v>6902</v>
      </c>
      <c r="X1964" t="s">
        <v>4169</v>
      </c>
      <c r="Y1964" t="s">
        <v>36</v>
      </c>
      <c r="Z1964" t="str">
        <f>"85713"</f>
        <v>85713</v>
      </c>
      <c r="AA1964" t="str">
        <f>"6295"</f>
        <v>6295</v>
      </c>
      <c r="AB1964" t="s">
        <v>2345</v>
      </c>
    </row>
    <row r="1965" spans="1:28" x14ac:dyDescent="0.25">
      <c r="A1965">
        <v>80140</v>
      </c>
      <c r="B1965" t="str">
        <f>"014009000"</f>
        <v>014009000</v>
      </c>
      <c r="C1965" t="s">
        <v>6908</v>
      </c>
      <c r="D1965">
        <v>0</v>
      </c>
      <c r="E1965" t="str">
        <f>""</f>
        <v/>
      </c>
      <c r="G1965" t="s">
        <v>29</v>
      </c>
      <c r="H1965" t="s">
        <v>3989</v>
      </c>
      <c r="I1965" t="s">
        <v>6909</v>
      </c>
      <c r="J1965" t="s">
        <v>6088</v>
      </c>
      <c r="K1965" t="str">
        <f>"9288714311"</f>
        <v>9288714311</v>
      </c>
      <c r="L1965" t="str">
        <f>""</f>
        <v/>
      </c>
      <c r="M1965" t="str">
        <f>"9288714341"</f>
        <v>9288714341</v>
      </c>
      <c r="N1965" t="str">
        <f>""</f>
        <v/>
      </c>
      <c r="O1965" t="s">
        <v>6910</v>
      </c>
      <c r="P1965" t="s">
        <v>6911</v>
      </c>
      <c r="Q1965" t="s">
        <v>6912</v>
      </c>
      <c r="R1965" t="s">
        <v>6913</v>
      </c>
      <c r="S1965" t="s">
        <v>36</v>
      </c>
      <c r="T1965" t="str">
        <f>"86506"</f>
        <v>86506</v>
      </c>
      <c r="U1965" t="str">
        <f>"4198"</f>
        <v>4198</v>
      </c>
      <c r="V1965" t="s">
        <v>6914</v>
      </c>
      <c r="X1965" t="s">
        <v>6915</v>
      </c>
      <c r="Y1965" t="s">
        <v>36</v>
      </c>
      <c r="Z1965" t="str">
        <f>"86506"</f>
        <v>86506</v>
      </c>
      <c r="AA1965" t="str">
        <f>"4198"</f>
        <v>4198</v>
      </c>
      <c r="AB1965" t="s">
        <v>632</v>
      </c>
    </row>
    <row r="1966" spans="1:28" x14ac:dyDescent="0.25">
      <c r="A1966">
        <v>80140</v>
      </c>
      <c r="B1966" t="str">
        <f>"014009000"</f>
        <v>014009000</v>
      </c>
      <c r="C1966" t="s">
        <v>6908</v>
      </c>
      <c r="D1966">
        <v>80141</v>
      </c>
      <c r="E1966" t="str">
        <f>"014012001"</f>
        <v>014012001</v>
      </c>
      <c r="F1966" t="s">
        <v>6908</v>
      </c>
      <c r="G1966" t="s">
        <v>42</v>
      </c>
      <c r="H1966" t="s">
        <v>6916</v>
      </c>
      <c r="I1966" t="s">
        <v>133</v>
      </c>
      <c r="J1966" t="s">
        <v>486</v>
      </c>
      <c r="K1966" t="str">
        <f>"9288714311"</f>
        <v>9288714311</v>
      </c>
      <c r="L1966" t="str">
        <f>""</f>
        <v/>
      </c>
      <c r="M1966" t="str">
        <f>"9288714341"</f>
        <v>9288714341</v>
      </c>
      <c r="N1966" t="str">
        <f>""</f>
        <v/>
      </c>
      <c r="O1966" t="s">
        <v>6917</v>
      </c>
      <c r="P1966" t="s">
        <v>6918</v>
      </c>
      <c r="R1966" t="s">
        <v>6919</v>
      </c>
      <c r="S1966" t="s">
        <v>36</v>
      </c>
      <c r="T1966" t="str">
        <f>"86506"</f>
        <v>86506</v>
      </c>
      <c r="U1966" t="str">
        <f>"4198"</f>
        <v>4198</v>
      </c>
      <c r="V1966" t="s">
        <v>6920</v>
      </c>
      <c r="X1966" t="s">
        <v>6919</v>
      </c>
      <c r="Y1966" t="s">
        <v>36</v>
      </c>
      <c r="Z1966" t="str">
        <f>"86506"</f>
        <v>86506</v>
      </c>
      <c r="AA1966" t="str">
        <f>"4198"</f>
        <v>4198</v>
      </c>
      <c r="AB1966" t="s">
        <v>632</v>
      </c>
    </row>
    <row r="1967" spans="1:28" x14ac:dyDescent="0.25">
      <c r="A1967">
        <v>80150</v>
      </c>
      <c r="B1967" t="str">
        <f>"013904000"</f>
        <v>013904000</v>
      </c>
      <c r="C1967" t="s">
        <v>6921</v>
      </c>
      <c r="D1967">
        <v>0</v>
      </c>
      <c r="E1967" t="str">
        <f>""</f>
        <v/>
      </c>
      <c r="G1967" t="s">
        <v>29</v>
      </c>
      <c r="H1967" t="s">
        <v>6922</v>
      </c>
      <c r="I1967" t="s">
        <v>6923</v>
      </c>
      <c r="J1967" t="s">
        <v>6924</v>
      </c>
      <c r="K1967" t="str">
        <f>"9286594221"</f>
        <v>9286594221</v>
      </c>
      <c r="L1967" t="str">
        <f>"550"</f>
        <v>550</v>
      </c>
      <c r="M1967" t="str">
        <f>"9286594135"</f>
        <v>9286594135</v>
      </c>
      <c r="N1967" t="str">
        <f>""</f>
        <v/>
      </c>
      <c r="O1967" t="s">
        <v>6925</v>
      </c>
      <c r="P1967" t="s">
        <v>6926</v>
      </c>
      <c r="R1967" t="s">
        <v>6841</v>
      </c>
      <c r="S1967" t="s">
        <v>36</v>
      </c>
      <c r="T1967" t="str">
        <f>"86545"</f>
        <v>86545</v>
      </c>
      <c r="U1967" t="str">
        <f>""</f>
        <v/>
      </c>
      <c r="V1967" t="s">
        <v>6927</v>
      </c>
      <c r="X1967" t="s">
        <v>6841</v>
      </c>
      <c r="Y1967" t="s">
        <v>36</v>
      </c>
      <c r="Z1967" t="str">
        <f>"86545"</f>
        <v>86545</v>
      </c>
      <c r="AA1967" t="str">
        <f>""</f>
        <v/>
      </c>
      <c r="AB1967" t="s">
        <v>86</v>
      </c>
    </row>
    <row r="1968" spans="1:28" x14ac:dyDescent="0.25">
      <c r="A1968">
        <v>80150</v>
      </c>
      <c r="B1968" t="str">
        <f>"013904000"</f>
        <v>013904000</v>
      </c>
      <c r="C1968" t="s">
        <v>6921</v>
      </c>
      <c r="D1968">
        <v>80151</v>
      </c>
      <c r="E1968" t="str">
        <f>"013904001"</f>
        <v>013904001</v>
      </c>
      <c r="F1968" t="s">
        <v>6921</v>
      </c>
      <c r="G1968" t="s">
        <v>42</v>
      </c>
      <c r="H1968" t="s">
        <v>6922</v>
      </c>
      <c r="I1968" t="s">
        <v>6923</v>
      </c>
      <c r="J1968" t="s">
        <v>6924</v>
      </c>
      <c r="K1968" t="str">
        <f>"9286594221"</f>
        <v>9286594221</v>
      </c>
      <c r="L1968" t="str">
        <f>"550"</f>
        <v>550</v>
      </c>
      <c r="M1968" t="str">
        <f>"9286594235"</f>
        <v>9286594235</v>
      </c>
      <c r="N1968" t="str">
        <f>""</f>
        <v/>
      </c>
      <c r="O1968" t="s">
        <v>6925</v>
      </c>
      <c r="P1968" t="s">
        <v>6928</v>
      </c>
      <c r="Q1968" t="s">
        <v>6927</v>
      </c>
      <c r="R1968" t="s">
        <v>6841</v>
      </c>
      <c r="S1968" t="s">
        <v>36</v>
      </c>
      <c r="T1968" t="str">
        <f>"86545"</f>
        <v>86545</v>
      </c>
      <c r="U1968" t="str">
        <f>""</f>
        <v/>
      </c>
      <c r="V1968" t="s">
        <v>6927</v>
      </c>
      <c r="X1968" t="s">
        <v>6841</v>
      </c>
      <c r="Y1968" t="s">
        <v>36</v>
      </c>
      <c r="Z1968" t="str">
        <f>"86545"</f>
        <v>86545</v>
      </c>
      <c r="AA1968" t="str">
        <f>""</f>
        <v/>
      </c>
      <c r="AB1968" t="s">
        <v>86</v>
      </c>
    </row>
    <row r="1969" spans="1:28" x14ac:dyDescent="0.25">
      <c r="A1969">
        <v>80154</v>
      </c>
      <c r="B1969" t="str">
        <f>"102007000"</f>
        <v>102007000</v>
      </c>
      <c r="C1969" t="s">
        <v>6929</v>
      </c>
      <c r="D1969">
        <v>0</v>
      </c>
      <c r="E1969" t="str">
        <f>""</f>
        <v/>
      </c>
      <c r="G1969" t="s">
        <v>29</v>
      </c>
      <c r="H1969" t="s">
        <v>6930</v>
      </c>
      <c r="I1969" t="s">
        <v>6931</v>
      </c>
      <c r="J1969" t="s">
        <v>486</v>
      </c>
      <c r="K1969" t="str">
        <f>"5202940628"</f>
        <v>5202940628</v>
      </c>
      <c r="L1969" t="str">
        <f>""</f>
        <v/>
      </c>
      <c r="M1969" t="str">
        <f>"5202943565"</f>
        <v>5202943565</v>
      </c>
      <c r="N1969" t="str">
        <f>""</f>
        <v/>
      </c>
      <c r="O1969" t="s">
        <v>6932</v>
      </c>
      <c r="P1969" t="s">
        <v>6933</v>
      </c>
      <c r="R1969" t="s">
        <v>4169</v>
      </c>
      <c r="S1969" t="s">
        <v>36</v>
      </c>
      <c r="T1969" t="str">
        <f>"85746"</f>
        <v>85746</v>
      </c>
      <c r="U1969" t="str">
        <f>""</f>
        <v/>
      </c>
      <c r="V1969" t="s">
        <v>6933</v>
      </c>
      <c r="X1969" t="s">
        <v>4169</v>
      </c>
      <c r="Y1969" t="s">
        <v>36</v>
      </c>
      <c r="Z1969" t="str">
        <f>"85746"</f>
        <v>85746</v>
      </c>
      <c r="AA1969" t="str">
        <f>""</f>
        <v/>
      </c>
      <c r="AB1969" t="s">
        <v>821</v>
      </c>
    </row>
    <row r="1970" spans="1:28" x14ac:dyDescent="0.25">
      <c r="A1970">
        <v>80154</v>
      </c>
      <c r="B1970" t="str">
        <f>"102007000"</f>
        <v>102007000</v>
      </c>
      <c r="C1970" t="s">
        <v>6929</v>
      </c>
      <c r="D1970">
        <v>80155</v>
      </c>
      <c r="E1970" t="str">
        <f>"102007001"</f>
        <v>102007001</v>
      </c>
      <c r="F1970" t="s">
        <v>6929</v>
      </c>
      <c r="G1970" t="s">
        <v>42</v>
      </c>
      <c r="H1970" t="s">
        <v>2308</v>
      </c>
      <c r="I1970" t="s">
        <v>6934</v>
      </c>
      <c r="J1970" t="s">
        <v>32</v>
      </c>
      <c r="K1970" t="str">
        <f>"5202940628"</f>
        <v>5202940628</v>
      </c>
      <c r="L1970" t="str">
        <f>""</f>
        <v/>
      </c>
      <c r="M1970" t="str">
        <f>"5202943465"</f>
        <v>5202943465</v>
      </c>
      <c r="N1970" t="str">
        <f>""</f>
        <v/>
      </c>
      <c r="O1970" t="s">
        <v>6935</v>
      </c>
      <c r="P1970" t="s">
        <v>6936</v>
      </c>
      <c r="R1970" t="s">
        <v>4169</v>
      </c>
      <c r="S1970" t="s">
        <v>36</v>
      </c>
      <c r="T1970" t="str">
        <f>"85746"</f>
        <v>85746</v>
      </c>
      <c r="U1970" t="str">
        <f>""</f>
        <v/>
      </c>
      <c r="V1970" t="s">
        <v>6936</v>
      </c>
      <c r="X1970" t="s">
        <v>4169</v>
      </c>
      <c r="Y1970" t="s">
        <v>36</v>
      </c>
      <c r="Z1970" t="str">
        <f>"85746"</f>
        <v>85746</v>
      </c>
      <c r="AA1970" t="str">
        <f>""</f>
        <v/>
      </c>
      <c r="AB1970" t="s">
        <v>821</v>
      </c>
    </row>
    <row r="1971" spans="1:28" x14ac:dyDescent="0.25">
      <c r="A1971">
        <v>80156</v>
      </c>
      <c r="B1971" t="str">
        <f>"102008000"</f>
        <v>102008000</v>
      </c>
      <c r="C1971" t="s">
        <v>6937</v>
      </c>
      <c r="D1971">
        <v>0</v>
      </c>
      <c r="E1971" t="str">
        <f>""</f>
        <v/>
      </c>
      <c r="G1971" t="s">
        <v>29</v>
      </c>
      <c r="H1971" t="s">
        <v>6938</v>
      </c>
      <c r="I1971" t="s">
        <v>6939</v>
      </c>
      <c r="J1971" t="s">
        <v>6047</v>
      </c>
      <c r="K1971" t="str">
        <f>"5206242093"</f>
        <v>5206242093</v>
      </c>
      <c r="L1971" t="str">
        <f>""</f>
        <v/>
      </c>
      <c r="M1971" t="str">
        <f>""</f>
        <v/>
      </c>
      <c r="N1971" t="str">
        <f>""</f>
        <v/>
      </c>
      <c r="O1971" t="s">
        <v>6940</v>
      </c>
      <c r="P1971" t="s">
        <v>6941</v>
      </c>
      <c r="R1971" t="s">
        <v>4169</v>
      </c>
      <c r="S1971" t="s">
        <v>36</v>
      </c>
      <c r="T1971" t="str">
        <f>"85713"</f>
        <v>85713</v>
      </c>
      <c r="U1971" t="str">
        <f>""</f>
        <v/>
      </c>
      <c r="V1971" t="s">
        <v>6941</v>
      </c>
      <c r="X1971" t="s">
        <v>4169</v>
      </c>
      <c r="Y1971" t="s">
        <v>36</v>
      </c>
      <c r="Z1971" t="str">
        <f>"85713"</f>
        <v>85713</v>
      </c>
      <c r="AA1971" t="str">
        <f>""</f>
        <v/>
      </c>
      <c r="AB1971" t="s">
        <v>265</v>
      </c>
    </row>
    <row r="1972" spans="1:28" x14ac:dyDescent="0.25">
      <c r="A1972">
        <v>80156</v>
      </c>
      <c r="B1972" t="str">
        <f>"102008000"</f>
        <v>102008000</v>
      </c>
      <c r="C1972" t="s">
        <v>6937</v>
      </c>
      <c r="D1972">
        <v>80157</v>
      </c>
      <c r="E1972" t="str">
        <f>"102008001"</f>
        <v>102008001</v>
      </c>
      <c r="F1972" t="s">
        <v>6937</v>
      </c>
      <c r="G1972" t="s">
        <v>42</v>
      </c>
      <c r="H1972" t="s">
        <v>6938</v>
      </c>
      <c r="I1972" t="s">
        <v>6939</v>
      </c>
      <c r="J1972" t="s">
        <v>6047</v>
      </c>
      <c r="K1972" t="str">
        <f>"5206242093"</f>
        <v>5206242093</v>
      </c>
      <c r="L1972" t="str">
        <f>""</f>
        <v/>
      </c>
      <c r="M1972" t="str">
        <f>"5206242833"</f>
        <v>5206242833</v>
      </c>
      <c r="N1972" t="str">
        <f>""</f>
        <v/>
      </c>
      <c r="O1972" t="s">
        <v>6940</v>
      </c>
      <c r="P1972" t="s">
        <v>6942</v>
      </c>
      <c r="R1972" t="s">
        <v>4169</v>
      </c>
      <c r="S1972" t="s">
        <v>36</v>
      </c>
      <c r="T1972" t="str">
        <f>"85713"</f>
        <v>85713</v>
      </c>
      <c r="U1972" t="str">
        <f>""</f>
        <v/>
      </c>
      <c r="V1972" t="s">
        <v>6942</v>
      </c>
      <c r="X1972" t="s">
        <v>4169</v>
      </c>
      <c r="Y1972" t="s">
        <v>36</v>
      </c>
      <c r="Z1972" t="str">
        <f>"85713"</f>
        <v>85713</v>
      </c>
      <c r="AA1972" t="str">
        <f>""</f>
        <v/>
      </c>
      <c r="AB1972" t="s">
        <v>265</v>
      </c>
    </row>
    <row r="1973" spans="1:28" x14ac:dyDescent="0.25">
      <c r="A1973">
        <v>80158</v>
      </c>
      <c r="B1973" t="str">
        <f>"094013000"</f>
        <v>094013000</v>
      </c>
      <c r="C1973" t="s">
        <v>6943</v>
      </c>
      <c r="D1973">
        <v>0</v>
      </c>
      <c r="E1973" t="str">
        <f>""</f>
        <v/>
      </c>
      <c r="G1973" t="s">
        <v>29</v>
      </c>
      <c r="H1973" t="s">
        <v>6944</v>
      </c>
      <c r="I1973" t="s">
        <v>6945</v>
      </c>
      <c r="J1973" t="s">
        <v>2162</v>
      </c>
      <c r="K1973" t="str">
        <f>"9286573208"</f>
        <v>9286573208</v>
      </c>
      <c r="L1973" t="str">
        <f>"1207"</f>
        <v>1207</v>
      </c>
      <c r="M1973" t="str">
        <f>"9286573224"</f>
        <v>9286573224</v>
      </c>
      <c r="N1973" t="str">
        <f>""</f>
        <v/>
      </c>
      <c r="O1973" t="s">
        <v>6946</v>
      </c>
      <c r="P1973" t="s">
        <v>6947</v>
      </c>
      <c r="R1973" t="s">
        <v>3956</v>
      </c>
      <c r="S1973" t="s">
        <v>36</v>
      </c>
      <c r="T1973" t="str">
        <f>"86047"</f>
        <v>86047</v>
      </c>
      <c r="U1973" t="str">
        <f>""</f>
        <v/>
      </c>
      <c r="V1973" t="s">
        <v>6948</v>
      </c>
      <c r="W1973" t="s">
        <v>6949</v>
      </c>
      <c r="X1973" t="s">
        <v>3956</v>
      </c>
      <c r="Y1973" t="s">
        <v>36</v>
      </c>
      <c r="Z1973" t="str">
        <f>"86047"</f>
        <v>86047</v>
      </c>
      <c r="AA1973" t="str">
        <f>""</f>
        <v/>
      </c>
      <c r="AB1973" t="s">
        <v>265</v>
      </c>
    </row>
    <row r="1974" spans="1:28" x14ac:dyDescent="0.25">
      <c r="A1974">
        <v>80158</v>
      </c>
      <c r="B1974" t="str">
        <f>"094013000"</f>
        <v>094013000</v>
      </c>
      <c r="C1974" t="s">
        <v>6943</v>
      </c>
      <c r="D1974">
        <v>80159</v>
      </c>
      <c r="E1974" t="str">
        <f>"033904014"</f>
        <v>033904014</v>
      </c>
      <c r="F1974" t="s">
        <v>6950</v>
      </c>
      <c r="G1974" t="s">
        <v>42</v>
      </c>
      <c r="H1974" t="s">
        <v>6944</v>
      </c>
      <c r="I1974" t="s">
        <v>6945</v>
      </c>
      <c r="J1974" t="s">
        <v>2162</v>
      </c>
      <c r="K1974" t="str">
        <f>"9286573208"</f>
        <v>9286573208</v>
      </c>
      <c r="L1974" t="str">
        <f>"1207"</f>
        <v>1207</v>
      </c>
      <c r="M1974" t="str">
        <f>"9286573224"</f>
        <v>9286573224</v>
      </c>
      <c r="N1974" t="str">
        <f>""</f>
        <v/>
      </c>
      <c r="O1974" t="s">
        <v>6951</v>
      </c>
      <c r="P1974" t="s">
        <v>6952</v>
      </c>
      <c r="R1974" t="s">
        <v>6953</v>
      </c>
      <c r="S1974" t="s">
        <v>36</v>
      </c>
      <c r="T1974" t="str">
        <f>"86047"</f>
        <v>86047</v>
      </c>
      <c r="U1974" t="str">
        <f>""</f>
        <v/>
      </c>
      <c r="V1974" t="s">
        <v>6948</v>
      </c>
      <c r="W1974" t="s">
        <v>6954</v>
      </c>
      <c r="X1974" t="s">
        <v>3956</v>
      </c>
      <c r="Y1974" t="s">
        <v>36</v>
      </c>
      <c r="Z1974" t="str">
        <f>"86047"</f>
        <v>86047</v>
      </c>
      <c r="AA1974" t="str">
        <f>""</f>
        <v/>
      </c>
      <c r="AB1974" t="s">
        <v>265</v>
      </c>
    </row>
    <row r="1975" spans="1:28" x14ac:dyDescent="0.25">
      <c r="A1975">
        <v>80166</v>
      </c>
      <c r="B1975" t="str">
        <f>"102005000"</f>
        <v>102005000</v>
      </c>
      <c r="C1975" t="s">
        <v>6955</v>
      </c>
      <c r="D1975">
        <v>0</v>
      </c>
      <c r="E1975" t="str">
        <f>""</f>
        <v/>
      </c>
      <c r="G1975" t="s">
        <v>29</v>
      </c>
      <c r="H1975" t="s">
        <v>1639</v>
      </c>
      <c r="I1975" t="s">
        <v>6956</v>
      </c>
      <c r="J1975" t="s">
        <v>6957</v>
      </c>
      <c r="K1975" t="str">
        <f>"5203252431"</f>
        <v>5203252431</v>
      </c>
      <c r="L1975" t="str">
        <f>"110"</f>
        <v>110</v>
      </c>
      <c r="M1975" t="str">
        <f>"5208814690"</f>
        <v>5208814690</v>
      </c>
      <c r="N1975" t="str">
        <f>""</f>
        <v/>
      </c>
      <c r="O1975" t="s">
        <v>6958</v>
      </c>
      <c r="P1975" t="s">
        <v>6959</v>
      </c>
      <c r="R1975" t="s">
        <v>4169</v>
      </c>
      <c r="S1975" t="s">
        <v>36</v>
      </c>
      <c r="T1975" t="str">
        <f>"85719"</f>
        <v>85719</v>
      </c>
      <c r="U1975" t="str">
        <f>"4311"</f>
        <v>4311</v>
      </c>
      <c r="V1975" t="s">
        <v>6959</v>
      </c>
      <c r="X1975" t="s">
        <v>4169</v>
      </c>
      <c r="Y1975" t="s">
        <v>36</v>
      </c>
      <c r="Z1975" t="str">
        <f>"85719"</f>
        <v>85719</v>
      </c>
      <c r="AA1975" t="str">
        <f>"4311"</f>
        <v>4311</v>
      </c>
      <c r="AB1975" t="s">
        <v>686</v>
      </c>
    </row>
    <row r="1976" spans="1:28" x14ac:dyDescent="0.25">
      <c r="A1976">
        <v>80166</v>
      </c>
      <c r="B1976" t="str">
        <f>"102005000"</f>
        <v>102005000</v>
      </c>
      <c r="C1976" t="s">
        <v>6955</v>
      </c>
      <c r="D1976">
        <v>80167</v>
      </c>
      <c r="E1976" t="str">
        <f>"102005001"</f>
        <v>102005001</v>
      </c>
      <c r="F1976" t="s">
        <v>6955</v>
      </c>
      <c r="G1976" t="s">
        <v>42</v>
      </c>
      <c r="H1976" t="s">
        <v>1639</v>
      </c>
      <c r="I1976" t="s">
        <v>6956</v>
      </c>
      <c r="J1976" t="s">
        <v>6960</v>
      </c>
      <c r="K1976" t="str">
        <f>"5203252431"</f>
        <v>5203252431</v>
      </c>
      <c r="L1976" t="str">
        <f>"110"</f>
        <v>110</v>
      </c>
      <c r="M1976" t="str">
        <f>"5208814690"</f>
        <v>5208814690</v>
      </c>
      <c r="N1976" t="str">
        <f>""</f>
        <v/>
      </c>
      <c r="O1976" t="s">
        <v>6958</v>
      </c>
      <c r="P1976" t="s">
        <v>6959</v>
      </c>
      <c r="R1976" t="s">
        <v>4169</v>
      </c>
      <c r="S1976" t="s">
        <v>36</v>
      </c>
      <c r="T1976" t="str">
        <f>"85719"</f>
        <v>85719</v>
      </c>
      <c r="U1976" t="str">
        <f>"4311"</f>
        <v>4311</v>
      </c>
      <c r="V1976" t="s">
        <v>6959</v>
      </c>
      <c r="X1976" t="s">
        <v>4169</v>
      </c>
      <c r="Y1976" t="s">
        <v>36</v>
      </c>
      <c r="Z1976" t="str">
        <f>"85719"</f>
        <v>85719</v>
      </c>
      <c r="AA1976" t="str">
        <f>"4311"</f>
        <v>4311</v>
      </c>
      <c r="AB1976" t="s">
        <v>686</v>
      </c>
    </row>
    <row r="1977" spans="1:28" x14ac:dyDescent="0.25">
      <c r="A1977">
        <v>80170</v>
      </c>
      <c r="B1977" t="str">
        <f>"112002000"</f>
        <v>112002000</v>
      </c>
      <c r="C1977" t="s">
        <v>6961</v>
      </c>
      <c r="D1977">
        <v>0</v>
      </c>
      <c r="E1977" t="str">
        <f>""</f>
        <v/>
      </c>
      <c r="G1977" t="s">
        <v>29</v>
      </c>
      <c r="H1977" t="s">
        <v>1949</v>
      </c>
      <c r="I1977" t="s">
        <v>6962</v>
      </c>
      <c r="J1977" t="s">
        <v>3734</v>
      </c>
      <c r="K1977" t="str">
        <f>"5208367247"</f>
        <v>5208367247</v>
      </c>
      <c r="L1977" t="str">
        <f>"317"</f>
        <v>317</v>
      </c>
      <c r="M1977" t="str">
        <f>"5208367289"</f>
        <v>5208367289</v>
      </c>
      <c r="N1977" t="str">
        <f>""</f>
        <v/>
      </c>
      <c r="O1977" t="s">
        <v>6963</v>
      </c>
      <c r="P1977" t="s">
        <v>6964</v>
      </c>
      <c r="R1977" t="s">
        <v>4738</v>
      </c>
      <c r="S1977" t="s">
        <v>36</v>
      </c>
      <c r="T1977" t="str">
        <f>"85122"</f>
        <v>85122</v>
      </c>
      <c r="U1977" t="str">
        <f>""</f>
        <v/>
      </c>
      <c r="V1977" t="s">
        <v>6964</v>
      </c>
      <c r="X1977" t="s">
        <v>4738</v>
      </c>
      <c r="Y1977" t="s">
        <v>36</v>
      </c>
      <c r="Z1977" t="str">
        <f>"85122"</f>
        <v>85122</v>
      </c>
      <c r="AA1977" t="str">
        <f>""</f>
        <v/>
      </c>
      <c r="AB1977" t="s">
        <v>2345</v>
      </c>
    </row>
    <row r="1978" spans="1:28" x14ac:dyDescent="0.25">
      <c r="A1978">
        <v>80170</v>
      </c>
      <c r="B1978" t="str">
        <f>"112002000"</f>
        <v>112002000</v>
      </c>
      <c r="C1978" t="s">
        <v>6961</v>
      </c>
      <c r="D1978">
        <v>80171</v>
      </c>
      <c r="E1978" t="str">
        <f>"112002001"</f>
        <v>112002001</v>
      </c>
      <c r="F1978" t="s">
        <v>6961</v>
      </c>
      <c r="G1978" t="s">
        <v>42</v>
      </c>
      <c r="H1978" t="s">
        <v>1949</v>
      </c>
      <c r="I1978" t="s">
        <v>6962</v>
      </c>
      <c r="J1978" t="s">
        <v>6965</v>
      </c>
      <c r="K1978" t="str">
        <f>"5208367247"</f>
        <v>5208367247</v>
      </c>
      <c r="L1978" t="str">
        <f>"317"</f>
        <v>317</v>
      </c>
      <c r="M1978" t="str">
        <f>"5208367289"</f>
        <v>5208367289</v>
      </c>
      <c r="N1978" t="str">
        <f>""</f>
        <v/>
      </c>
      <c r="O1978" t="s">
        <v>6963</v>
      </c>
      <c r="P1978" t="s">
        <v>6964</v>
      </c>
      <c r="R1978" t="s">
        <v>4738</v>
      </c>
      <c r="S1978" t="s">
        <v>36</v>
      </c>
      <c r="T1978" t="str">
        <f>"85122"</f>
        <v>85122</v>
      </c>
      <c r="U1978" t="str">
        <f>""</f>
        <v/>
      </c>
      <c r="V1978" t="s">
        <v>6964</v>
      </c>
      <c r="X1978" t="s">
        <v>4738</v>
      </c>
      <c r="Y1978" t="s">
        <v>36</v>
      </c>
      <c r="Z1978" t="str">
        <f>"85122"</f>
        <v>85122</v>
      </c>
      <c r="AA1978" t="str">
        <f>""</f>
        <v/>
      </c>
      <c r="AB1978" t="s">
        <v>2345</v>
      </c>
    </row>
    <row r="1979" spans="1:28" x14ac:dyDescent="0.25">
      <c r="A1979">
        <v>80172</v>
      </c>
      <c r="B1979" t="str">
        <f>"072013000"</f>
        <v>072013000</v>
      </c>
      <c r="C1979" t="s">
        <v>6966</v>
      </c>
      <c r="D1979">
        <v>0</v>
      </c>
      <c r="E1979" t="str">
        <f>""</f>
        <v/>
      </c>
      <c r="G1979" t="s">
        <v>29</v>
      </c>
      <c r="H1979" t="s">
        <v>6967</v>
      </c>
      <c r="I1979" t="s">
        <v>1902</v>
      </c>
      <c r="J1979" t="s">
        <v>134</v>
      </c>
      <c r="K1979" t="str">
        <f>"6022762241"</f>
        <v>6022762241</v>
      </c>
      <c r="L1979" t="str">
        <f>"256"</f>
        <v>256</v>
      </c>
      <c r="M1979" t="str">
        <f>"6022687886"</f>
        <v>6022687886</v>
      </c>
      <c r="N1979" t="str">
        <f>""</f>
        <v/>
      </c>
      <c r="O1979" t="s">
        <v>6968</v>
      </c>
      <c r="P1979" t="s">
        <v>6969</v>
      </c>
      <c r="R1979" t="s">
        <v>964</v>
      </c>
      <c r="S1979" t="s">
        <v>36</v>
      </c>
      <c r="T1979" t="str">
        <f>"85042"</f>
        <v>85042</v>
      </c>
      <c r="U1979" t="str">
        <f>""</f>
        <v/>
      </c>
      <c r="V1979" t="s">
        <v>6969</v>
      </c>
      <c r="X1979" t="s">
        <v>964</v>
      </c>
      <c r="Y1979" t="s">
        <v>36</v>
      </c>
      <c r="Z1979" t="str">
        <f>"85042"</f>
        <v>85042</v>
      </c>
      <c r="AA1979" t="str">
        <f>""</f>
        <v/>
      </c>
      <c r="AB1979" t="s">
        <v>821</v>
      </c>
    </row>
    <row r="1980" spans="1:28" x14ac:dyDescent="0.25">
      <c r="A1980">
        <v>80172</v>
      </c>
      <c r="B1980" t="str">
        <f>"072013000"</f>
        <v>072013000</v>
      </c>
      <c r="C1980" t="s">
        <v>6966</v>
      </c>
      <c r="D1980">
        <v>80173</v>
      </c>
      <c r="E1980" t="str">
        <f>"072013001"</f>
        <v>072013001</v>
      </c>
      <c r="F1980" t="s">
        <v>6970</v>
      </c>
      <c r="G1980" t="s">
        <v>42</v>
      </c>
      <c r="H1980" t="s">
        <v>6971</v>
      </c>
      <c r="I1980" t="s">
        <v>1590</v>
      </c>
      <c r="J1980" t="s">
        <v>6972</v>
      </c>
      <c r="K1980" t="str">
        <f>"6022762241"</f>
        <v>6022762241</v>
      </c>
      <c r="L1980" t="str">
        <f>"253"</f>
        <v>253</v>
      </c>
      <c r="M1980" t="str">
        <f>"6022767886"</f>
        <v>6022767886</v>
      </c>
      <c r="N1980" t="str">
        <f>""</f>
        <v/>
      </c>
      <c r="O1980" t="s">
        <v>6973</v>
      </c>
      <c r="P1980" t="s">
        <v>6974</v>
      </c>
      <c r="R1980" t="s">
        <v>964</v>
      </c>
      <c r="S1980" t="s">
        <v>36</v>
      </c>
      <c r="T1980" t="str">
        <f>"85042"</f>
        <v>85042</v>
      </c>
      <c r="U1980" t="str">
        <f>""</f>
        <v/>
      </c>
      <c r="V1980" t="s">
        <v>6974</v>
      </c>
      <c r="X1980" t="s">
        <v>964</v>
      </c>
      <c r="Y1980" t="s">
        <v>36</v>
      </c>
      <c r="Z1980" t="str">
        <f>"85042"</f>
        <v>85042</v>
      </c>
      <c r="AA1980" t="str">
        <f>""</f>
        <v/>
      </c>
      <c r="AB1980" t="s">
        <v>821</v>
      </c>
    </row>
    <row r="1981" spans="1:28" x14ac:dyDescent="0.25">
      <c r="A1981">
        <v>80178</v>
      </c>
      <c r="B1981" t="str">
        <f>"102004000"</f>
        <v>102004000</v>
      </c>
      <c r="C1981" t="s">
        <v>6975</v>
      </c>
      <c r="D1981">
        <v>0</v>
      </c>
      <c r="E1981" t="str">
        <f>""</f>
        <v/>
      </c>
      <c r="G1981" t="s">
        <v>29</v>
      </c>
      <c r="H1981" t="s">
        <v>3846</v>
      </c>
      <c r="I1981" t="s">
        <v>6976</v>
      </c>
      <c r="J1981" t="s">
        <v>315</v>
      </c>
      <c r="K1981" t="str">
        <f>"5209011994"</f>
        <v>5209011994</v>
      </c>
      <c r="L1981" t="str">
        <f>""</f>
        <v/>
      </c>
      <c r="M1981" t="str">
        <f>"5206223193"</f>
        <v>5206223193</v>
      </c>
      <c r="N1981" t="str">
        <f>""</f>
        <v/>
      </c>
      <c r="O1981" t="s">
        <v>6977</v>
      </c>
      <c r="P1981" t="s">
        <v>6978</v>
      </c>
      <c r="R1981" t="s">
        <v>4169</v>
      </c>
      <c r="S1981" t="s">
        <v>36</v>
      </c>
      <c r="T1981" t="str">
        <f>"85713"</f>
        <v>85713</v>
      </c>
      <c r="U1981" t="str">
        <f>""</f>
        <v/>
      </c>
      <c r="V1981" t="s">
        <v>6978</v>
      </c>
      <c r="X1981" t="s">
        <v>4169</v>
      </c>
      <c r="Y1981" t="s">
        <v>36</v>
      </c>
      <c r="Z1981" t="str">
        <f>"85713"</f>
        <v>85713</v>
      </c>
      <c r="AA1981" t="str">
        <f>""</f>
        <v/>
      </c>
      <c r="AB1981" t="s">
        <v>3741</v>
      </c>
    </row>
    <row r="1982" spans="1:28" x14ac:dyDescent="0.25">
      <c r="A1982">
        <v>80178</v>
      </c>
      <c r="B1982" t="str">
        <f>"102004000"</f>
        <v>102004000</v>
      </c>
      <c r="C1982" t="s">
        <v>6975</v>
      </c>
      <c r="D1982">
        <v>80179</v>
      </c>
      <c r="E1982" t="str">
        <f>"102004001"</f>
        <v>102004001</v>
      </c>
      <c r="F1982" t="s">
        <v>6979</v>
      </c>
      <c r="G1982" t="s">
        <v>42</v>
      </c>
      <c r="H1982" t="s">
        <v>3846</v>
      </c>
      <c r="I1982" t="s">
        <v>6976</v>
      </c>
      <c r="J1982" t="s">
        <v>195</v>
      </c>
      <c r="K1982" t="str">
        <f>"5209011994"</f>
        <v>5209011994</v>
      </c>
      <c r="L1982" t="str">
        <f>""</f>
        <v/>
      </c>
      <c r="M1982" t="str">
        <f>"5206223193"</f>
        <v>5206223193</v>
      </c>
      <c r="N1982" t="str">
        <f>""</f>
        <v/>
      </c>
      <c r="O1982" t="s">
        <v>6977</v>
      </c>
      <c r="P1982" t="s">
        <v>6978</v>
      </c>
      <c r="R1982" t="s">
        <v>4169</v>
      </c>
      <c r="S1982" t="s">
        <v>36</v>
      </c>
      <c r="T1982" t="str">
        <f>"85713"</f>
        <v>85713</v>
      </c>
      <c r="U1982" t="str">
        <f>""</f>
        <v/>
      </c>
      <c r="V1982" t="s">
        <v>6978</v>
      </c>
      <c r="X1982" t="s">
        <v>4169</v>
      </c>
      <c r="Y1982" t="s">
        <v>36</v>
      </c>
      <c r="Z1982" t="str">
        <f>"85713"</f>
        <v>85713</v>
      </c>
      <c r="AA1982" t="str">
        <f>""</f>
        <v/>
      </c>
      <c r="AB1982" t="s">
        <v>3741</v>
      </c>
    </row>
    <row r="1983" spans="1:28" x14ac:dyDescent="0.25">
      <c r="A1983">
        <v>80190</v>
      </c>
      <c r="B1983" t="str">
        <f>"012003000"</f>
        <v>012003000</v>
      </c>
      <c r="C1983" t="s">
        <v>6980</v>
      </c>
      <c r="D1983">
        <v>0</v>
      </c>
      <c r="E1983" t="str">
        <f>""</f>
        <v/>
      </c>
      <c r="G1983" t="s">
        <v>29</v>
      </c>
      <c r="H1983" t="s">
        <v>4851</v>
      </c>
      <c r="I1983" t="s">
        <v>6981</v>
      </c>
      <c r="J1983" t="s">
        <v>4837</v>
      </c>
      <c r="K1983" t="str">
        <f>"5059795590"</f>
        <v>5059795590</v>
      </c>
      <c r="L1983" t="str">
        <f>"3042"</f>
        <v>3042</v>
      </c>
      <c r="M1983" t="str">
        <f>"5059795590"</f>
        <v>5059795590</v>
      </c>
      <c r="N1983" t="str">
        <f>""</f>
        <v/>
      </c>
      <c r="O1983" t="s">
        <v>6982</v>
      </c>
      <c r="P1983" t="s">
        <v>6983</v>
      </c>
      <c r="R1983" t="s">
        <v>5888</v>
      </c>
      <c r="S1983" t="s">
        <v>36</v>
      </c>
      <c r="T1983" t="str">
        <f>"86511"</f>
        <v>86511</v>
      </c>
      <c r="U1983" t="str">
        <f>"0650"</f>
        <v>0650</v>
      </c>
      <c r="V1983" t="s">
        <v>6984</v>
      </c>
      <c r="X1983" t="s">
        <v>6985</v>
      </c>
      <c r="Y1983" t="s">
        <v>36</v>
      </c>
      <c r="Z1983" t="str">
        <f>"86511"</f>
        <v>86511</v>
      </c>
      <c r="AA1983" t="str">
        <f>"0650"</f>
        <v>0650</v>
      </c>
      <c r="AB1983" t="s">
        <v>592</v>
      </c>
    </row>
    <row r="1984" spans="1:28" x14ac:dyDescent="0.25">
      <c r="A1984">
        <v>80190</v>
      </c>
      <c r="B1984" t="str">
        <f>"012003000"</f>
        <v>012003000</v>
      </c>
      <c r="C1984" t="s">
        <v>6980</v>
      </c>
      <c r="D1984">
        <v>80191</v>
      </c>
      <c r="E1984" t="str">
        <f>"012003001"</f>
        <v>012003001</v>
      </c>
      <c r="F1984" t="s">
        <v>6986</v>
      </c>
      <c r="G1984" t="s">
        <v>42</v>
      </c>
      <c r="H1984" t="s">
        <v>4851</v>
      </c>
      <c r="I1984" t="s">
        <v>6981</v>
      </c>
      <c r="J1984" t="s">
        <v>6987</v>
      </c>
      <c r="K1984" t="str">
        <f>"5059795590"</f>
        <v>5059795590</v>
      </c>
      <c r="L1984" t="str">
        <f>"3042"</f>
        <v>3042</v>
      </c>
      <c r="M1984" t="str">
        <f>"5059795590"</f>
        <v>5059795590</v>
      </c>
      <c r="N1984" t="str">
        <f>""</f>
        <v/>
      </c>
      <c r="O1984" t="s">
        <v>6988</v>
      </c>
      <c r="P1984" t="s">
        <v>6989</v>
      </c>
      <c r="R1984" t="s">
        <v>6985</v>
      </c>
      <c r="S1984" t="s">
        <v>36</v>
      </c>
      <c r="T1984" t="str">
        <f>"86511"</f>
        <v>86511</v>
      </c>
      <c r="U1984" t="str">
        <f>"0650"</f>
        <v>0650</v>
      </c>
      <c r="V1984" t="s">
        <v>6990</v>
      </c>
      <c r="X1984" t="s">
        <v>6985</v>
      </c>
      <c r="Y1984" t="s">
        <v>36</v>
      </c>
      <c r="Z1984" t="str">
        <f>"86511"</f>
        <v>86511</v>
      </c>
      <c r="AA1984" t="str">
        <f>"0650"</f>
        <v>0650</v>
      </c>
      <c r="AB1984" t="s">
        <v>592</v>
      </c>
    </row>
    <row r="1985" spans="1:28" x14ac:dyDescent="0.25">
      <c r="A1985">
        <v>80192</v>
      </c>
      <c r="B1985" t="str">
        <f>"112001000"</f>
        <v>112001000</v>
      </c>
      <c r="C1985" t="s">
        <v>6991</v>
      </c>
      <c r="D1985">
        <v>0</v>
      </c>
      <c r="E1985" t="str">
        <f>""</f>
        <v/>
      </c>
      <c r="G1985" t="s">
        <v>29</v>
      </c>
      <c r="H1985" t="s">
        <v>6992</v>
      </c>
      <c r="I1985" t="s">
        <v>6993</v>
      </c>
      <c r="J1985" t="s">
        <v>32</v>
      </c>
      <c r="K1985" t="str">
        <f>"5204832864"</f>
        <v>5204832864</v>
      </c>
      <c r="L1985" t="str">
        <f>""</f>
        <v/>
      </c>
      <c r="M1985" t="str">
        <f>"5203153963"</f>
        <v>5203153963</v>
      </c>
      <c r="N1985" t="str">
        <f>""</f>
        <v/>
      </c>
      <c r="O1985" t="s">
        <v>6994</v>
      </c>
      <c r="P1985" t="s">
        <v>6995</v>
      </c>
      <c r="Q1985" t="s">
        <v>6996</v>
      </c>
      <c r="R1985" t="s">
        <v>6249</v>
      </c>
      <c r="S1985" t="s">
        <v>36</v>
      </c>
      <c r="T1985" t="str">
        <f>"85121"</f>
        <v>85121</v>
      </c>
      <c r="U1985" t="str">
        <f>"0840"</f>
        <v>0840</v>
      </c>
      <c r="V1985" t="s">
        <v>6995</v>
      </c>
      <c r="W1985" t="s">
        <v>6996</v>
      </c>
      <c r="X1985" t="s">
        <v>6249</v>
      </c>
      <c r="Y1985" t="s">
        <v>36</v>
      </c>
      <c r="Z1985" t="str">
        <f>"85121"</f>
        <v>85121</v>
      </c>
      <c r="AA1985" t="str">
        <f>"0840"</f>
        <v>0840</v>
      </c>
      <c r="AB1985" t="s">
        <v>124</v>
      </c>
    </row>
    <row r="1986" spans="1:28" x14ac:dyDescent="0.25">
      <c r="A1986">
        <v>80192</v>
      </c>
      <c r="B1986" t="str">
        <f>"112001000"</f>
        <v>112001000</v>
      </c>
      <c r="C1986" t="s">
        <v>6991</v>
      </c>
      <c r="D1986">
        <v>80193</v>
      </c>
      <c r="E1986" t="str">
        <f>"112001001"</f>
        <v>112001001</v>
      </c>
      <c r="F1986" t="s">
        <v>6991</v>
      </c>
      <c r="G1986" t="s">
        <v>42</v>
      </c>
      <c r="H1986" t="s">
        <v>6997</v>
      </c>
      <c r="I1986" t="s">
        <v>6998</v>
      </c>
      <c r="J1986" t="s">
        <v>486</v>
      </c>
      <c r="K1986" t="str">
        <f>"5204832178"</f>
        <v>5204832178</v>
      </c>
      <c r="L1986" t="str">
        <f>""</f>
        <v/>
      </c>
      <c r="M1986" t="str">
        <f>"5203153963"</f>
        <v>5203153963</v>
      </c>
      <c r="N1986" t="str">
        <f>""</f>
        <v/>
      </c>
      <c r="O1986" t="s">
        <v>6999</v>
      </c>
      <c r="P1986" t="s">
        <v>7000</v>
      </c>
      <c r="Q1986" t="s">
        <v>6996</v>
      </c>
      <c r="R1986" t="s">
        <v>6249</v>
      </c>
      <c r="S1986" t="s">
        <v>36</v>
      </c>
      <c r="T1986" t="str">
        <f>"85121"</f>
        <v>85121</v>
      </c>
      <c r="U1986" t="str">
        <f>"0840"</f>
        <v>0840</v>
      </c>
      <c r="V1986" t="s">
        <v>7000</v>
      </c>
      <c r="W1986" t="s">
        <v>6996</v>
      </c>
      <c r="X1986" t="s">
        <v>6249</v>
      </c>
      <c r="Y1986" t="s">
        <v>36</v>
      </c>
      <c r="Z1986" t="str">
        <f>"85121"</f>
        <v>85121</v>
      </c>
      <c r="AA1986" t="str">
        <f>"0840"</f>
        <v>0840</v>
      </c>
      <c r="AB1986" t="s">
        <v>124</v>
      </c>
    </row>
    <row r="1987" spans="1:28" x14ac:dyDescent="0.25">
      <c r="A1987">
        <v>80194</v>
      </c>
      <c r="B1987" t="str">
        <f>"072017000"</f>
        <v>072017000</v>
      </c>
      <c r="C1987" t="s">
        <v>7001</v>
      </c>
      <c r="D1987">
        <v>0</v>
      </c>
      <c r="E1987" t="str">
        <f>""</f>
        <v/>
      </c>
      <c r="G1987" t="s">
        <v>29</v>
      </c>
      <c r="H1987" t="s">
        <v>896</v>
      </c>
      <c r="I1987" t="s">
        <v>7002</v>
      </c>
      <c r="J1987" t="s">
        <v>32</v>
      </c>
      <c r="K1987" t="str">
        <f>"6029549088"</f>
        <v>6029549088</v>
      </c>
      <c r="L1987" t="str">
        <f>"5259"</f>
        <v>5259</v>
      </c>
      <c r="M1987" t="str">
        <f>"6023813256"</f>
        <v>6023813256</v>
      </c>
      <c r="N1987" t="str">
        <f>""</f>
        <v/>
      </c>
      <c r="O1987" t="s">
        <v>7003</v>
      </c>
      <c r="P1987" t="s">
        <v>7004</v>
      </c>
      <c r="R1987" t="s">
        <v>964</v>
      </c>
      <c r="S1987" t="s">
        <v>36</v>
      </c>
      <c r="T1987" t="str">
        <f>"85016"</f>
        <v>85016</v>
      </c>
      <c r="U1987" t="str">
        <f>""</f>
        <v/>
      </c>
      <c r="V1987" t="s">
        <v>7004</v>
      </c>
      <c r="X1987" t="s">
        <v>964</v>
      </c>
      <c r="Y1987" t="s">
        <v>36</v>
      </c>
      <c r="Z1987" t="str">
        <f>"85016"</f>
        <v>85016</v>
      </c>
      <c r="AA1987" t="str">
        <f>""</f>
        <v/>
      </c>
      <c r="AB1987" t="s">
        <v>282</v>
      </c>
    </row>
    <row r="1988" spans="1:28" x14ac:dyDescent="0.25">
      <c r="A1988">
        <v>80194</v>
      </c>
      <c r="B1988" t="str">
        <f>"072017000"</f>
        <v>072017000</v>
      </c>
      <c r="C1988" t="s">
        <v>7001</v>
      </c>
      <c r="D1988">
        <v>80195</v>
      </c>
      <c r="E1988" t="str">
        <f>"072017001"</f>
        <v>072017001</v>
      </c>
      <c r="F1988" t="s">
        <v>7001</v>
      </c>
      <c r="G1988" t="s">
        <v>42</v>
      </c>
      <c r="H1988" t="s">
        <v>896</v>
      </c>
      <c r="I1988" t="s">
        <v>7002</v>
      </c>
      <c r="J1988" t="s">
        <v>7005</v>
      </c>
      <c r="K1988" t="str">
        <f>"6029549088"</f>
        <v>6029549088</v>
      </c>
      <c r="L1988" t="str">
        <f>"5259"</f>
        <v>5259</v>
      </c>
      <c r="M1988" t="str">
        <f>"6023813256"</f>
        <v>6023813256</v>
      </c>
      <c r="N1988" t="str">
        <f>""</f>
        <v/>
      </c>
      <c r="O1988" t="s">
        <v>7003</v>
      </c>
      <c r="P1988" t="s">
        <v>7006</v>
      </c>
      <c r="R1988" t="s">
        <v>964</v>
      </c>
      <c r="S1988" t="s">
        <v>36</v>
      </c>
      <c r="T1988" t="str">
        <f>"85016"</f>
        <v>85016</v>
      </c>
      <c r="U1988" t="str">
        <f>""</f>
        <v/>
      </c>
      <c r="V1988" t="s">
        <v>7006</v>
      </c>
      <c r="X1988" t="s">
        <v>964</v>
      </c>
      <c r="Y1988" t="s">
        <v>36</v>
      </c>
      <c r="Z1988" t="str">
        <f>"85016"</f>
        <v>85016</v>
      </c>
      <c r="AA1988" t="str">
        <f>""</f>
        <v/>
      </c>
      <c r="AB1988" t="s">
        <v>282</v>
      </c>
    </row>
    <row r="1989" spans="1:28" x14ac:dyDescent="0.25">
      <c r="A1989">
        <v>80222</v>
      </c>
      <c r="B1989" t="str">
        <f>"014010000"</f>
        <v>014010000</v>
      </c>
      <c r="C1989" t="s">
        <v>7007</v>
      </c>
      <c r="D1989">
        <v>0</v>
      </c>
      <c r="E1989" t="str">
        <f>""</f>
        <v/>
      </c>
      <c r="G1989" t="s">
        <v>29</v>
      </c>
      <c r="H1989" t="s">
        <v>7008</v>
      </c>
      <c r="I1989" t="s">
        <v>159</v>
      </c>
      <c r="J1989" t="s">
        <v>134</v>
      </c>
      <c r="K1989" t="str">
        <f>"9286523251"</f>
        <v>9286523251</v>
      </c>
      <c r="L1989" t="str">
        <f>"102"</f>
        <v>102</v>
      </c>
      <c r="M1989" t="str">
        <f>"9286523286"</f>
        <v>9286523286</v>
      </c>
      <c r="N1989" t="str">
        <f>""</f>
        <v/>
      </c>
      <c r="O1989" t="s">
        <v>7009</v>
      </c>
      <c r="P1989" t="s">
        <v>7010</v>
      </c>
      <c r="R1989" t="s">
        <v>7011</v>
      </c>
      <c r="S1989" t="s">
        <v>36</v>
      </c>
      <c r="T1989" t="str">
        <f>"86502"</f>
        <v>86502</v>
      </c>
      <c r="U1989" t="str">
        <f>"0309"</f>
        <v>0309</v>
      </c>
      <c r="V1989" t="s">
        <v>7012</v>
      </c>
      <c r="X1989" t="s">
        <v>7011</v>
      </c>
      <c r="Y1989" t="s">
        <v>36</v>
      </c>
      <c r="Z1989" t="str">
        <f>"86502"</f>
        <v>86502</v>
      </c>
      <c r="AA1989" t="str">
        <f>"0309"</f>
        <v>0309</v>
      </c>
      <c r="AB1989" t="s">
        <v>124</v>
      </c>
    </row>
    <row r="1990" spans="1:28" x14ac:dyDescent="0.25">
      <c r="A1990">
        <v>80222</v>
      </c>
      <c r="B1990" t="str">
        <f>"014010000"</f>
        <v>014010000</v>
      </c>
      <c r="C1990" t="s">
        <v>7007</v>
      </c>
      <c r="D1990">
        <v>80223</v>
      </c>
      <c r="E1990" t="str">
        <f>"014012003"</f>
        <v>014012003</v>
      </c>
      <c r="F1990" t="s">
        <v>7007</v>
      </c>
      <c r="G1990" t="s">
        <v>42</v>
      </c>
      <c r="H1990" t="s">
        <v>7013</v>
      </c>
      <c r="I1990" t="s">
        <v>6681</v>
      </c>
      <c r="J1990" t="s">
        <v>160</v>
      </c>
      <c r="K1990" t="str">
        <f>"9286523251"</f>
        <v>9286523251</v>
      </c>
      <c r="L1990" t="str">
        <f>"118"</f>
        <v>118</v>
      </c>
      <c r="M1990" t="str">
        <f>"9286523286"</f>
        <v>9286523286</v>
      </c>
      <c r="N1990" t="str">
        <f>""</f>
        <v/>
      </c>
      <c r="O1990" t="s">
        <v>7014</v>
      </c>
      <c r="P1990" t="s">
        <v>3834</v>
      </c>
      <c r="R1990" t="s">
        <v>7011</v>
      </c>
      <c r="S1990" t="s">
        <v>36</v>
      </c>
      <c r="T1990" t="str">
        <f>"86502"</f>
        <v>86502</v>
      </c>
      <c r="U1990" t="str">
        <f>"0309"</f>
        <v>0309</v>
      </c>
      <c r="V1990" t="s">
        <v>7015</v>
      </c>
      <c r="X1990" t="s">
        <v>7011</v>
      </c>
      <c r="Y1990" t="s">
        <v>36</v>
      </c>
      <c r="Z1990" t="str">
        <f>"86502"</f>
        <v>86502</v>
      </c>
      <c r="AA1990" t="str">
        <f>"0309"</f>
        <v>0309</v>
      </c>
      <c r="AB1990" t="s">
        <v>124</v>
      </c>
    </row>
    <row r="1991" spans="1:28" x14ac:dyDescent="0.25">
      <c r="A1991">
        <v>80224</v>
      </c>
      <c r="B1991" t="str">
        <f>"092701000"</f>
        <v>092701000</v>
      </c>
      <c r="C1991" t="s">
        <v>7016</v>
      </c>
      <c r="D1991">
        <v>0</v>
      </c>
      <c r="E1991" t="str">
        <f>""</f>
        <v/>
      </c>
      <c r="G1991" t="s">
        <v>29</v>
      </c>
      <c r="H1991" t="s">
        <v>752</v>
      </c>
      <c r="I1991" t="s">
        <v>3871</v>
      </c>
      <c r="J1991" t="s">
        <v>7017</v>
      </c>
      <c r="K1991" t="str">
        <f>"9282894488"</f>
        <v>9282894488</v>
      </c>
      <c r="L1991" t="str">
        <f>"107"</f>
        <v>107</v>
      </c>
      <c r="M1991" t="str">
        <f>"9282892821"</f>
        <v>9282892821</v>
      </c>
      <c r="N1991" t="str">
        <f>""</f>
        <v/>
      </c>
      <c r="O1991" t="s">
        <v>7018</v>
      </c>
      <c r="P1991" t="s">
        <v>7019</v>
      </c>
      <c r="Q1991" t="s">
        <v>7020</v>
      </c>
      <c r="R1991" t="s">
        <v>3956</v>
      </c>
      <c r="S1991" t="s">
        <v>36</v>
      </c>
      <c r="T1991" t="str">
        <f>"86047"</f>
        <v>86047</v>
      </c>
      <c r="U1991" t="str">
        <f>""</f>
        <v/>
      </c>
      <c r="V1991" t="s">
        <v>7019</v>
      </c>
      <c r="W1991" t="s">
        <v>7020</v>
      </c>
      <c r="X1991" t="s">
        <v>3956</v>
      </c>
      <c r="Y1991" t="s">
        <v>36</v>
      </c>
      <c r="Z1991" t="str">
        <f>"86047"</f>
        <v>86047</v>
      </c>
      <c r="AA1991" t="str">
        <f>""</f>
        <v/>
      </c>
      <c r="AB1991" t="s">
        <v>265</v>
      </c>
    </row>
    <row r="1992" spans="1:28" x14ac:dyDescent="0.25">
      <c r="A1992">
        <v>80224</v>
      </c>
      <c r="B1992" t="str">
        <f>"092701000"</f>
        <v>092701000</v>
      </c>
      <c r="C1992" t="s">
        <v>7016</v>
      </c>
      <c r="D1992">
        <v>80225</v>
      </c>
      <c r="E1992" t="str">
        <f>"092701001"</f>
        <v>092701001</v>
      </c>
      <c r="F1992" t="s">
        <v>7021</v>
      </c>
      <c r="G1992" t="s">
        <v>42</v>
      </c>
      <c r="H1992" t="s">
        <v>752</v>
      </c>
      <c r="I1992" t="s">
        <v>3871</v>
      </c>
      <c r="J1992" t="s">
        <v>7017</v>
      </c>
      <c r="K1992" t="str">
        <f>"9282894488"</f>
        <v>9282894488</v>
      </c>
      <c r="L1992" t="str">
        <f>"107"</f>
        <v>107</v>
      </c>
      <c r="M1992" t="str">
        <f>"9282892821"</f>
        <v>9282892821</v>
      </c>
      <c r="N1992" t="str">
        <f>""</f>
        <v/>
      </c>
      <c r="O1992" t="s">
        <v>7018</v>
      </c>
      <c r="P1992" t="s">
        <v>7019</v>
      </c>
      <c r="Q1992" t="s">
        <v>7022</v>
      </c>
      <c r="R1992" t="s">
        <v>3956</v>
      </c>
      <c r="S1992" t="s">
        <v>36</v>
      </c>
      <c r="T1992" t="str">
        <f>"86047"</f>
        <v>86047</v>
      </c>
      <c r="U1992" t="str">
        <f>""</f>
        <v/>
      </c>
      <c r="V1992" t="s">
        <v>7019</v>
      </c>
      <c r="W1992" t="s">
        <v>7022</v>
      </c>
      <c r="X1992" t="s">
        <v>3956</v>
      </c>
      <c r="Y1992" t="s">
        <v>36</v>
      </c>
      <c r="Z1992" t="str">
        <f>"86047"</f>
        <v>86047</v>
      </c>
      <c r="AA1992" t="str">
        <f>""</f>
        <v/>
      </c>
      <c r="AB1992" t="s">
        <v>265</v>
      </c>
    </row>
    <row r="1993" spans="1:28" x14ac:dyDescent="0.25">
      <c r="A1993">
        <v>80235</v>
      </c>
      <c r="B1993" t="str">
        <f>"072702000"</f>
        <v>072702000</v>
      </c>
      <c r="C1993" t="s">
        <v>7023</v>
      </c>
      <c r="D1993">
        <v>0</v>
      </c>
      <c r="E1993" t="str">
        <f>""</f>
        <v/>
      </c>
      <c r="G1993" t="s">
        <v>29</v>
      </c>
      <c r="H1993" t="s">
        <v>7024</v>
      </c>
      <c r="I1993" t="s">
        <v>7025</v>
      </c>
      <c r="J1993" t="s">
        <v>710</v>
      </c>
      <c r="K1993" t="str">
        <f>"4809692308"</f>
        <v>4809692308</v>
      </c>
      <c r="L1993" t="str">
        <f>""</f>
        <v/>
      </c>
      <c r="M1993" t="str">
        <f>"4809699277"</f>
        <v>4809699277</v>
      </c>
      <c r="N1993" t="str">
        <f>""</f>
        <v/>
      </c>
      <c r="O1993" t="s">
        <v>7026</v>
      </c>
      <c r="P1993" t="s">
        <v>7027</v>
      </c>
      <c r="R1993" t="s">
        <v>979</v>
      </c>
      <c r="S1993" t="s">
        <v>36</v>
      </c>
      <c r="T1993" t="str">
        <f>"85201"</f>
        <v>85201</v>
      </c>
      <c r="U1993" t="str">
        <f>""</f>
        <v/>
      </c>
      <c r="V1993" t="s">
        <v>7028</v>
      </c>
      <c r="X1993" t="s">
        <v>979</v>
      </c>
      <c r="Y1993" t="s">
        <v>36</v>
      </c>
      <c r="Z1993" t="str">
        <f>"85201"</f>
        <v>85201</v>
      </c>
      <c r="AA1993" t="str">
        <f>""</f>
        <v/>
      </c>
      <c r="AB1993" t="s">
        <v>2345</v>
      </c>
    </row>
    <row r="1994" spans="1:28" x14ac:dyDescent="0.25">
      <c r="A1994">
        <v>80235</v>
      </c>
      <c r="B1994" t="str">
        <f>"072702000"</f>
        <v>072702000</v>
      </c>
      <c r="C1994" t="s">
        <v>7023</v>
      </c>
      <c r="D1994">
        <v>80236</v>
      </c>
      <c r="E1994" t="str">
        <f>"072702001"</f>
        <v>072702001</v>
      </c>
      <c r="F1994" t="s">
        <v>7023</v>
      </c>
      <c r="G1994" t="s">
        <v>42</v>
      </c>
      <c r="H1994" t="s">
        <v>7024</v>
      </c>
      <c r="I1994" t="s">
        <v>7025</v>
      </c>
      <c r="J1994" t="s">
        <v>710</v>
      </c>
      <c r="K1994" t="str">
        <f>"6022737364"</f>
        <v>6022737364</v>
      </c>
      <c r="L1994" t="str">
        <f>""</f>
        <v/>
      </c>
      <c r="M1994" t="str">
        <f>"6022670840"</f>
        <v>6022670840</v>
      </c>
      <c r="N1994" t="str">
        <f>""</f>
        <v/>
      </c>
      <c r="O1994" t="s">
        <v>7029</v>
      </c>
      <c r="P1994" t="s">
        <v>7027</v>
      </c>
      <c r="R1994" t="s">
        <v>979</v>
      </c>
      <c r="S1994" t="s">
        <v>36</v>
      </c>
      <c r="T1994" t="str">
        <f>"85201"</f>
        <v>85201</v>
      </c>
      <c r="U1994" t="str">
        <f>""</f>
        <v/>
      </c>
      <c r="V1994" t="s">
        <v>7030</v>
      </c>
      <c r="X1994" t="s">
        <v>964</v>
      </c>
      <c r="Y1994" t="s">
        <v>36</v>
      </c>
      <c r="Z1994" t="str">
        <f>"85008"</f>
        <v>85008</v>
      </c>
      <c r="AA1994" t="str">
        <f>""</f>
        <v/>
      </c>
      <c r="AB1994" t="s">
        <v>2345</v>
      </c>
    </row>
    <row r="1995" spans="1:28" x14ac:dyDescent="0.25">
      <c r="A1995">
        <v>80235</v>
      </c>
      <c r="B1995" t="str">
        <f>"072702000"</f>
        <v>072702000</v>
      </c>
      <c r="C1995" t="s">
        <v>7023</v>
      </c>
      <c r="D1995">
        <v>84333</v>
      </c>
      <c r="E1995" t="str">
        <f>"072702002"</f>
        <v>072702002</v>
      </c>
      <c r="F1995" t="s">
        <v>7031</v>
      </c>
      <c r="G1995" t="s">
        <v>42</v>
      </c>
      <c r="H1995" t="s">
        <v>7024</v>
      </c>
      <c r="I1995" t="s">
        <v>7025</v>
      </c>
      <c r="J1995" t="s">
        <v>710</v>
      </c>
      <c r="K1995" t="str">
        <f>"4809692308"</f>
        <v>4809692308</v>
      </c>
      <c r="L1995" t="str">
        <f>""</f>
        <v/>
      </c>
      <c r="M1995" t="str">
        <f>"4809699277"</f>
        <v>4809699277</v>
      </c>
      <c r="N1995" t="str">
        <f>""</f>
        <v/>
      </c>
      <c r="O1995" t="s">
        <v>7029</v>
      </c>
      <c r="P1995" t="s">
        <v>7027</v>
      </c>
      <c r="R1995" t="s">
        <v>979</v>
      </c>
      <c r="S1995" t="s">
        <v>36</v>
      </c>
      <c r="T1995" t="str">
        <f>"85201"</f>
        <v>85201</v>
      </c>
      <c r="U1995" t="str">
        <f>""</f>
        <v/>
      </c>
      <c r="V1995" t="s">
        <v>7032</v>
      </c>
      <c r="X1995" t="s">
        <v>979</v>
      </c>
      <c r="Y1995" t="s">
        <v>36</v>
      </c>
      <c r="Z1995" t="str">
        <f>"85201"</f>
        <v>85201</v>
      </c>
      <c r="AA1995" t="str">
        <f>""</f>
        <v/>
      </c>
      <c r="AB1995" t="s">
        <v>2345</v>
      </c>
    </row>
    <row r="1996" spans="1:28" x14ac:dyDescent="0.25">
      <c r="A1996">
        <v>80235</v>
      </c>
      <c r="B1996" t="str">
        <f>"072702000"</f>
        <v>072702000</v>
      </c>
      <c r="C1996" t="s">
        <v>7023</v>
      </c>
      <c r="D1996">
        <v>84334</v>
      </c>
      <c r="E1996" t="str">
        <f>"072702003"</f>
        <v>072702003</v>
      </c>
      <c r="F1996" t="s">
        <v>7033</v>
      </c>
      <c r="G1996" t="s">
        <v>42</v>
      </c>
      <c r="H1996" t="s">
        <v>7024</v>
      </c>
      <c r="I1996" t="s">
        <v>7025</v>
      </c>
      <c r="J1996" t="s">
        <v>710</v>
      </c>
      <c r="K1996" t="str">
        <f>"4809692308"</f>
        <v>4809692308</v>
      </c>
      <c r="L1996" t="str">
        <f>""</f>
        <v/>
      </c>
      <c r="M1996" t="str">
        <f>"4809699277"</f>
        <v>4809699277</v>
      </c>
      <c r="N1996" t="str">
        <f>""</f>
        <v/>
      </c>
      <c r="O1996" t="s">
        <v>7029</v>
      </c>
      <c r="P1996" t="s">
        <v>7027</v>
      </c>
      <c r="R1996" t="s">
        <v>979</v>
      </c>
      <c r="S1996" t="s">
        <v>36</v>
      </c>
      <c r="T1996" t="str">
        <f>"85201"</f>
        <v>85201</v>
      </c>
      <c r="U1996" t="str">
        <f>""</f>
        <v/>
      </c>
      <c r="V1996" t="s">
        <v>7032</v>
      </c>
      <c r="X1996" t="s">
        <v>979</v>
      </c>
      <c r="Y1996" t="s">
        <v>36</v>
      </c>
      <c r="Z1996" t="str">
        <f>"85201"</f>
        <v>85201</v>
      </c>
      <c r="AA1996" t="str">
        <f>""</f>
        <v/>
      </c>
      <c r="AB1996" t="s">
        <v>2345</v>
      </c>
    </row>
    <row r="1997" spans="1:28" x14ac:dyDescent="0.25">
      <c r="A1997">
        <v>80242</v>
      </c>
      <c r="B1997" t="str">
        <f>"094006000"</f>
        <v>094006000</v>
      </c>
      <c r="C1997" t="s">
        <v>7034</v>
      </c>
      <c r="D1997">
        <v>0</v>
      </c>
      <c r="E1997" t="str">
        <f>""</f>
        <v/>
      </c>
      <c r="G1997" t="s">
        <v>29</v>
      </c>
      <c r="H1997" t="s">
        <v>7035</v>
      </c>
      <c r="I1997" t="s">
        <v>159</v>
      </c>
      <c r="J1997" t="s">
        <v>7036</v>
      </c>
      <c r="K1997" t="str">
        <f>"9286973800"</f>
        <v>9286973800</v>
      </c>
      <c r="L1997" t="str">
        <f>"1105"</f>
        <v>1105</v>
      </c>
      <c r="M1997" t="str">
        <f>"9286973448"</f>
        <v>9286973448</v>
      </c>
      <c r="N1997" t="str">
        <f>""</f>
        <v/>
      </c>
      <c r="O1997" t="s">
        <v>7037</v>
      </c>
      <c r="P1997" t="s">
        <v>7038</v>
      </c>
      <c r="R1997" t="s">
        <v>4137</v>
      </c>
      <c r="S1997" t="s">
        <v>36</v>
      </c>
      <c r="T1997" t="str">
        <f>"86033"</f>
        <v>86033</v>
      </c>
      <c r="U1997" t="str">
        <f>"0740"</f>
        <v>0740</v>
      </c>
      <c r="V1997" t="s">
        <v>7039</v>
      </c>
      <c r="X1997" t="s">
        <v>4137</v>
      </c>
      <c r="Y1997" t="s">
        <v>36</v>
      </c>
      <c r="Z1997" t="str">
        <f>"86033"</f>
        <v>86033</v>
      </c>
      <c r="AA1997" t="str">
        <f>"0740"</f>
        <v>0740</v>
      </c>
      <c r="AB1997" t="s">
        <v>265</v>
      </c>
    </row>
    <row r="1998" spans="1:28" x14ac:dyDescent="0.25">
      <c r="A1998">
        <v>80242</v>
      </c>
      <c r="B1998" t="str">
        <f>"094006000"</f>
        <v>094006000</v>
      </c>
      <c r="C1998" t="s">
        <v>7034</v>
      </c>
      <c r="D1998">
        <v>80378</v>
      </c>
      <c r="E1998" t="str">
        <f>"033904009"</f>
        <v>033904009</v>
      </c>
      <c r="F1998" t="s">
        <v>7034</v>
      </c>
      <c r="G1998" t="s">
        <v>42</v>
      </c>
      <c r="H1998" t="s">
        <v>74</v>
      </c>
      <c r="I1998" t="s">
        <v>7040</v>
      </c>
      <c r="J1998" t="s">
        <v>481</v>
      </c>
      <c r="K1998" t="str">
        <f>"9286973800"</f>
        <v>9286973800</v>
      </c>
      <c r="L1998" t="str">
        <f>"1110"</f>
        <v>1110</v>
      </c>
      <c r="M1998" t="str">
        <f>"9286973448"</f>
        <v>9286973448</v>
      </c>
      <c r="N1998" t="str">
        <f>""</f>
        <v/>
      </c>
      <c r="O1998" t="s">
        <v>7041</v>
      </c>
      <c r="P1998" t="s">
        <v>7042</v>
      </c>
      <c r="R1998" t="s">
        <v>4137</v>
      </c>
      <c r="S1998" t="s">
        <v>36</v>
      </c>
      <c r="T1998" t="str">
        <f>"86033"</f>
        <v>86033</v>
      </c>
      <c r="U1998" t="str">
        <f>""</f>
        <v/>
      </c>
      <c r="V1998" t="s">
        <v>7043</v>
      </c>
      <c r="X1998" t="s">
        <v>4137</v>
      </c>
      <c r="Y1998" t="s">
        <v>36</v>
      </c>
      <c r="Z1998" t="str">
        <f>"86033"</f>
        <v>86033</v>
      </c>
      <c r="AA1998" t="str">
        <f>""</f>
        <v/>
      </c>
      <c r="AB1998" t="s">
        <v>265</v>
      </c>
    </row>
    <row r="1999" spans="1:28" x14ac:dyDescent="0.25">
      <c r="A1999">
        <v>80246</v>
      </c>
      <c r="B1999" t="str">
        <f>"114001000"</f>
        <v>114001000</v>
      </c>
      <c r="C1999" t="s">
        <v>7044</v>
      </c>
      <c r="D1999">
        <v>0</v>
      </c>
      <c r="E1999" t="str">
        <f>""</f>
        <v/>
      </c>
      <c r="G1999" t="s">
        <v>29</v>
      </c>
      <c r="H1999" t="s">
        <v>4714</v>
      </c>
      <c r="I1999" t="s">
        <v>417</v>
      </c>
      <c r="J1999" t="s">
        <v>3716</v>
      </c>
      <c r="K1999" t="str">
        <f>"5203153489"</f>
        <v>5203153489</v>
      </c>
      <c r="L1999" t="str">
        <f>"2505"</f>
        <v>2505</v>
      </c>
      <c r="M1999" t="str">
        <f>"5203153505"</f>
        <v>5203153505</v>
      </c>
      <c r="N1999" t="str">
        <f>""</f>
        <v/>
      </c>
      <c r="O1999" t="s">
        <v>7045</v>
      </c>
      <c r="P1999" t="s">
        <v>7046</v>
      </c>
      <c r="R1999" t="s">
        <v>7047</v>
      </c>
      <c r="S1999" t="s">
        <v>36</v>
      </c>
      <c r="T1999" t="str">
        <f>"85121"</f>
        <v>85121</v>
      </c>
      <c r="U1999" t="str">
        <f>""</f>
        <v/>
      </c>
      <c r="V1999" t="s">
        <v>7048</v>
      </c>
      <c r="X1999" t="s">
        <v>6249</v>
      </c>
      <c r="Y1999" t="s">
        <v>36</v>
      </c>
      <c r="Z1999" t="str">
        <f>"85121"</f>
        <v>85121</v>
      </c>
      <c r="AA1999" t="str">
        <f>""</f>
        <v/>
      </c>
      <c r="AB1999" t="s">
        <v>124</v>
      </c>
    </row>
    <row r="2000" spans="1:28" x14ac:dyDescent="0.25">
      <c r="A2000">
        <v>80246</v>
      </c>
      <c r="B2000" t="str">
        <f>"114001000"</f>
        <v>114001000</v>
      </c>
      <c r="C2000" t="s">
        <v>7044</v>
      </c>
      <c r="D2000">
        <v>80247</v>
      </c>
      <c r="E2000" t="str">
        <f>"114001001"</f>
        <v>114001001</v>
      </c>
      <c r="F2000" t="s">
        <v>7049</v>
      </c>
      <c r="G2000" t="s">
        <v>42</v>
      </c>
      <c r="H2000" t="s">
        <v>4714</v>
      </c>
      <c r="I2000" t="s">
        <v>417</v>
      </c>
      <c r="J2000" t="s">
        <v>710</v>
      </c>
      <c r="K2000" t="str">
        <f>"5203153489"</f>
        <v>5203153489</v>
      </c>
      <c r="L2000" t="str">
        <f>"2505"</f>
        <v>2505</v>
      </c>
      <c r="M2000" t="str">
        <f>"5203153505"</f>
        <v>5203153505</v>
      </c>
      <c r="N2000" t="str">
        <f>""</f>
        <v/>
      </c>
      <c r="O2000" t="s">
        <v>7045</v>
      </c>
      <c r="P2000" t="s">
        <v>7050</v>
      </c>
      <c r="R2000" t="s">
        <v>6249</v>
      </c>
      <c r="S2000" t="s">
        <v>36</v>
      </c>
      <c r="T2000" t="str">
        <f>"85121"</f>
        <v>85121</v>
      </c>
      <c r="U2000" t="str">
        <f>""</f>
        <v/>
      </c>
      <c r="V2000" t="s">
        <v>7048</v>
      </c>
      <c r="X2000" t="s">
        <v>6249</v>
      </c>
      <c r="Y2000" t="s">
        <v>36</v>
      </c>
      <c r="Z2000" t="str">
        <f>"85121"</f>
        <v>85121</v>
      </c>
      <c r="AA2000" t="str">
        <f>""</f>
        <v/>
      </c>
      <c r="AB2000" t="s">
        <v>124</v>
      </c>
    </row>
    <row r="2001" spans="1:28" x14ac:dyDescent="0.25">
      <c r="A2001">
        <v>80274</v>
      </c>
      <c r="B2001" t="str">
        <f>"094016000"</f>
        <v>094016000</v>
      </c>
      <c r="C2001" t="s">
        <v>7051</v>
      </c>
      <c r="D2001">
        <v>0</v>
      </c>
      <c r="E2001" t="str">
        <f>""</f>
        <v/>
      </c>
      <c r="G2001" t="s">
        <v>29</v>
      </c>
      <c r="H2001" t="s">
        <v>7052</v>
      </c>
      <c r="I2001" t="s">
        <v>7053</v>
      </c>
      <c r="J2001" t="s">
        <v>195</v>
      </c>
      <c r="K2001" t="str">
        <f>"9286573211"</f>
        <v>9286573211</v>
      </c>
      <c r="L2001" t="str">
        <f>"2325"</f>
        <v>2325</v>
      </c>
      <c r="M2001" t="str">
        <f>"9286573213"</f>
        <v>9286573213</v>
      </c>
      <c r="N2001" t="str">
        <f>""</f>
        <v/>
      </c>
      <c r="O2001" t="s">
        <v>7054</v>
      </c>
      <c r="P2001" t="s">
        <v>7055</v>
      </c>
      <c r="R2001" t="s">
        <v>3956</v>
      </c>
      <c r="S2001" t="s">
        <v>36</v>
      </c>
      <c r="T2001" t="str">
        <f>"86047"</f>
        <v>86047</v>
      </c>
      <c r="U2001" t="str">
        <f>""</f>
        <v/>
      </c>
      <c r="V2001" t="s">
        <v>7056</v>
      </c>
      <c r="X2001" t="s">
        <v>7057</v>
      </c>
      <c r="Y2001" t="s">
        <v>36</v>
      </c>
      <c r="Z2001" t="str">
        <f>"86047"</f>
        <v>86047</v>
      </c>
      <c r="AA2001" t="str">
        <f>""</f>
        <v/>
      </c>
      <c r="AB2001" t="s">
        <v>632</v>
      </c>
    </row>
    <row r="2002" spans="1:28" x14ac:dyDescent="0.25">
      <c r="A2002">
        <v>80274</v>
      </c>
      <c r="B2002" t="str">
        <f>"094016000"</f>
        <v>094016000</v>
      </c>
      <c r="C2002" t="s">
        <v>7051</v>
      </c>
      <c r="D2002">
        <v>80275</v>
      </c>
      <c r="E2002" t="str">
        <f>"033904013"</f>
        <v>033904013</v>
      </c>
      <c r="F2002" t="s">
        <v>7051</v>
      </c>
      <c r="G2002" t="s">
        <v>42</v>
      </c>
      <c r="H2002" t="s">
        <v>6292</v>
      </c>
      <c r="I2002" t="s">
        <v>7053</v>
      </c>
      <c r="J2002" t="s">
        <v>195</v>
      </c>
      <c r="K2002" t="str">
        <f>"9286573211"</f>
        <v>9286573211</v>
      </c>
      <c r="L2002" t="str">
        <f>"2325"</f>
        <v>2325</v>
      </c>
      <c r="M2002" t="str">
        <f>"9286573213"</f>
        <v>9286573213</v>
      </c>
      <c r="N2002" t="str">
        <f>""</f>
        <v/>
      </c>
      <c r="O2002" t="s">
        <v>7054</v>
      </c>
      <c r="P2002" t="s">
        <v>7055</v>
      </c>
      <c r="R2002" t="s">
        <v>3956</v>
      </c>
      <c r="S2002" t="s">
        <v>36</v>
      </c>
      <c r="T2002" t="str">
        <f>"86047"</f>
        <v>86047</v>
      </c>
      <c r="U2002" t="str">
        <f>""</f>
        <v/>
      </c>
      <c r="V2002" t="s">
        <v>7058</v>
      </c>
      <c r="X2002" t="s">
        <v>7057</v>
      </c>
      <c r="Y2002" t="s">
        <v>36</v>
      </c>
      <c r="Z2002" t="str">
        <f>"86047"</f>
        <v>86047</v>
      </c>
      <c r="AA2002" t="str">
        <f>""</f>
        <v/>
      </c>
      <c r="AB2002" t="s">
        <v>632</v>
      </c>
    </row>
    <row r="2003" spans="1:28" x14ac:dyDescent="0.25">
      <c r="A2003">
        <v>80278</v>
      </c>
      <c r="B2003" t="str">
        <f>"092006000"</f>
        <v>092006000</v>
      </c>
      <c r="C2003" t="s">
        <v>7059</v>
      </c>
      <c r="D2003">
        <v>0</v>
      </c>
      <c r="E2003" t="str">
        <f>""</f>
        <v/>
      </c>
      <c r="G2003" t="s">
        <v>29</v>
      </c>
      <c r="H2003" t="s">
        <v>1639</v>
      </c>
      <c r="I2003" t="s">
        <v>7060</v>
      </c>
      <c r="J2003" t="s">
        <v>307</v>
      </c>
      <c r="K2003" t="str">
        <f>"9285246211"</f>
        <v>9285246211</v>
      </c>
      <c r="L2003" t="str">
        <f>""</f>
        <v/>
      </c>
      <c r="M2003" t="str">
        <f>"9285243230"</f>
        <v>9285243230</v>
      </c>
      <c r="N2003" t="str">
        <f>""</f>
        <v/>
      </c>
      <c r="O2003" t="s">
        <v>7061</v>
      </c>
      <c r="P2003" t="s">
        <v>7062</v>
      </c>
      <c r="R2003" t="s">
        <v>7063</v>
      </c>
      <c r="S2003" t="s">
        <v>36</v>
      </c>
      <c r="T2003" t="str">
        <f>"86029"</f>
        <v>86029</v>
      </c>
      <c r="U2003" t="str">
        <f>"4013"</f>
        <v>4013</v>
      </c>
      <c r="V2003" t="s">
        <v>7064</v>
      </c>
      <c r="X2003" t="s">
        <v>7063</v>
      </c>
      <c r="Y2003" t="s">
        <v>36</v>
      </c>
      <c r="Z2003" t="str">
        <f>"86029"</f>
        <v>86029</v>
      </c>
      <c r="AA2003" t="str">
        <f>"4013"</f>
        <v>4013</v>
      </c>
      <c r="AB2003" t="s">
        <v>217</v>
      </c>
    </row>
    <row r="2004" spans="1:28" x14ac:dyDescent="0.25">
      <c r="A2004">
        <v>80278</v>
      </c>
      <c r="B2004" t="str">
        <f>"092006000"</f>
        <v>092006000</v>
      </c>
      <c r="C2004" t="s">
        <v>7059</v>
      </c>
      <c r="D2004">
        <v>80279</v>
      </c>
      <c r="E2004" t="str">
        <f>"092006001"</f>
        <v>092006001</v>
      </c>
      <c r="F2004" t="s">
        <v>7059</v>
      </c>
      <c r="G2004" t="s">
        <v>42</v>
      </c>
      <c r="H2004" t="s">
        <v>1639</v>
      </c>
      <c r="I2004" t="s">
        <v>7060</v>
      </c>
      <c r="J2004" t="s">
        <v>195</v>
      </c>
      <c r="K2004" t="str">
        <f>"9285246211"</f>
        <v>9285246211</v>
      </c>
      <c r="L2004" t="str">
        <f>""</f>
        <v/>
      </c>
      <c r="M2004" t="str">
        <f>"9285243230"</f>
        <v>9285243230</v>
      </c>
      <c r="N2004" t="str">
        <f>""</f>
        <v/>
      </c>
      <c r="O2004" t="s">
        <v>7061</v>
      </c>
      <c r="P2004" t="s">
        <v>7062</v>
      </c>
      <c r="R2004" t="s">
        <v>7063</v>
      </c>
      <c r="S2004" t="s">
        <v>36</v>
      </c>
      <c r="T2004" t="str">
        <f>"86029"</f>
        <v>86029</v>
      </c>
      <c r="U2004" t="str">
        <f>"4013"</f>
        <v>4013</v>
      </c>
      <c r="V2004" t="s">
        <v>7065</v>
      </c>
      <c r="X2004" t="s">
        <v>7063</v>
      </c>
      <c r="Y2004" t="s">
        <v>36</v>
      </c>
      <c r="Z2004" t="str">
        <f>"86029"</f>
        <v>86029</v>
      </c>
      <c r="AA2004" t="str">
        <f>"4013"</f>
        <v>4013</v>
      </c>
      <c r="AB2004" t="s">
        <v>217</v>
      </c>
    </row>
    <row r="2005" spans="1:28" x14ac:dyDescent="0.25">
      <c r="A2005">
        <v>80354</v>
      </c>
      <c r="B2005" t="str">
        <f>"019112000"</f>
        <v>019112000</v>
      </c>
      <c r="C2005" t="s">
        <v>7066</v>
      </c>
      <c r="D2005">
        <v>0</v>
      </c>
      <c r="E2005" t="str">
        <f>""</f>
        <v/>
      </c>
      <c r="G2005" t="s">
        <v>29</v>
      </c>
      <c r="H2005" t="s">
        <v>7067</v>
      </c>
      <c r="I2005" t="s">
        <v>180</v>
      </c>
      <c r="J2005" t="s">
        <v>7068</v>
      </c>
      <c r="K2005" t="str">
        <f>"9287553939"</f>
        <v>9287553939</v>
      </c>
      <c r="L2005" t="str">
        <f>"235"</f>
        <v>235</v>
      </c>
      <c r="M2005" t="str">
        <f>"9287553448"</f>
        <v>9287553448</v>
      </c>
      <c r="N2005" t="str">
        <f>""</f>
        <v/>
      </c>
      <c r="O2005" t="s">
        <v>7069</v>
      </c>
      <c r="P2005" t="s">
        <v>7070</v>
      </c>
      <c r="R2005" t="s">
        <v>122</v>
      </c>
      <c r="S2005" t="s">
        <v>36</v>
      </c>
      <c r="T2005" t="str">
        <f>"86505"</f>
        <v>86505</v>
      </c>
      <c r="U2005" t="str">
        <f>""</f>
        <v/>
      </c>
      <c r="V2005" t="s">
        <v>7071</v>
      </c>
      <c r="X2005" t="s">
        <v>122</v>
      </c>
      <c r="Y2005" t="s">
        <v>36</v>
      </c>
      <c r="Z2005" t="str">
        <f>"86505"</f>
        <v>86505</v>
      </c>
      <c r="AA2005" t="str">
        <f>""</f>
        <v/>
      </c>
      <c r="AB2005" t="s">
        <v>5107</v>
      </c>
    </row>
    <row r="2006" spans="1:28" x14ac:dyDescent="0.25">
      <c r="A2006">
        <v>80354</v>
      </c>
      <c r="B2006" t="str">
        <f>"019112000"</f>
        <v>019112000</v>
      </c>
      <c r="C2006" t="s">
        <v>7066</v>
      </c>
      <c r="D2006">
        <v>87941</v>
      </c>
      <c r="E2006" t="str">
        <f>"014012007"</f>
        <v>014012007</v>
      </c>
      <c r="F2006" t="s">
        <v>7072</v>
      </c>
      <c r="G2006" t="s">
        <v>42</v>
      </c>
      <c r="H2006" t="s">
        <v>7067</v>
      </c>
      <c r="I2006" t="s">
        <v>180</v>
      </c>
      <c r="J2006" t="s">
        <v>7073</v>
      </c>
      <c r="K2006" t="str">
        <f>"9287553439"</f>
        <v>9287553439</v>
      </c>
      <c r="L2006" t="str">
        <f>"235"</f>
        <v>235</v>
      </c>
      <c r="M2006" t="str">
        <f>"9287553448"</f>
        <v>9287553448</v>
      </c>
      <c r="N2006" t="str">
        <f>""</f>
        <v/>
      </c>
      <c r="O2006" t="s">
        <v>7069</v>
      </c>
      <c r="P2006" t="s">
        <v>7070</v>
      </c>
      <c r="R2006" t="s">
        <v>122</v>
      </c>
      <c r="S2006" t="s">
        <v>36</v>
      </c>
      <c r="T2006" t="str">
        <f>"86505"</f>
        <v>86505</v>
      </c>
      <c r="U2006" t="str">
        <f>""</f>
        <v/>
      </c>
      <c r="V2006" t="s">
        <v>7074</v>
      </c>
      <c r="X2006" t="s">
        <v>122</v>
      </c>
      <c r="Y2006" t="s">
        <v>36</v>
      </c>
      <c r="Z2006" t="str">
        <f>"86505"</f>
        <v>86505</v>
      </c>
      <c r="AA2006" t="str">
        <f>""</f>
        <v/>
      </c>
      <c r="AB2006" t="s">
        <v>5107</v>
      </c>
    </row>
    <row r="2007" spans="1:28" x14ac:dyDescent="0.25">
      <c r="A2007">
        <v>80370</v>
      </c>
      <c r="B2007" t="str">
        <f>"014006000"</f>
        <v>014006000</v>
      </c>
      <c r="C2007" t="s">
        <v>7075</v>
      </c>
      <c r="D2007">
        <v>0</v>
      </c>
      <c r="E2007" t="str">
        <f>""</f>
        <v/>
      </c>
      <c r="G2007" t="s">
        <v>29</v>
      </c>
      <c r="H2007" t="s">
        <v>7076</v>
      </c>
      <c r="I2007" t="s">
        <v>7077</v>
      </c>
      <c r="J2007" t="s">
        <v>134</v>
      </c>
      <c r="K2007" t="str">
        <f>"9288714439"</f>
        <v>9288714439</v>
      </c>
      <c r="L2007" t="str">
        <f>"29"</f>
        <v>29</v>
      </c>
      <c r="M2007" t="str">
        <f>"9288714435"</f>
        <v>9288714435</v>
      </c>
      <c r="N2007" t="str">
        <f>""</f>
        <v/>
      </c>
      <c r="O2007" t="s">
        <v>7078</v>
      </c>
      <c r="P2007" t="s">
        <v>7079</v>
      </c>
      <c r="R2007" t="s">
        <v>5888</v>
      </c>
      <c r="S2007" t="s">
        <v>36</v>
      </c>
      <c r="T2007" t="str">
        <f>"86511"</f>
        <v>86511</v>
      </c>
      <c r="U2007" t="str">
        <f>""</f>
        <v/>
      </c>
      <c r="V2007" t="s">
        <v>7080</v>
      </c>
      <c r="W2007" t="s">
        <v>7081</v>
      </c>
      <c r="X2007" t="s">
        <v>5888</v>
      </c>
      <c r="Y2007" t="s">
        <v>36</v>
      </c>
      <c r="Z2007" t="str">
        <f>"86511"</f>
        <v>86511</v>
      </c>
      <c r="AA2007" t="str">
        <f>"0099"</f>
        <v>0099</v>
      </c>
      <c r="AB2007" t="s">
        <v>4547</v>
      </c>
    </row>
    <row r="2008" spans="1:28" x14ac:dyDescent="0.25">
      <c r="A2008">
        <v>80370</v>
      </c>
      <c r="B2008" t="str">
        <f>"014006000"</f>
        <v>014006000</v>
      </c>
      <c r="C2008" t="s">
        <v>7075</v>
      </c>
      <c r="D2008">
        <v>80444</v>
      </c>
      <c r="E2008" t="str">
        <f>"014012002"</f>
        <v>014012002</v>
      </c>
      <c r="F2008" t="s">
        <v>7075</v>
      </c>
      <c r="G2008" t="s">
        <v>42</v>
      </c>
      <c r="H2008" t="s">
        <v>7082</v>
      </c>
      <c r="I2008" t="s">
        <v>7083</v>
      </c>
      <c r="J2008" t="s">
        <v>4820</v>
      </c>
      <c r="K2008" t="str">
        <f>"9288714439"</f>
        <v>9288714439</v>
      </c>
      <c r="L2008" t="str">
        <f>"25"</f>
        <v>25</v>
      </c>
      <c r="M2008" t="str">
        <f>"9288714435"</f>
        <v>9288714435</v>
      </c>
      <c r="N2008" t="str">
        <f>""</f>
        <v/>
      </c>
      <c r="O2008" t="s">
        <v>7084</v>
      </c>
      <c r="P2008" t="s">
        <v>7085</v>
      </c>
      <c r="R2008" t="s">
        <v>7086</v>
      </c>
      <c r="S2008" t="s">
        <v>36</v>
      </c>
      <c r="T2008" t="str">
        <f>"86511"</f>
        <v>86511</v>
      </c>
      <c r="U2008" t="str">
        <f>"0099"</f>
        <v>0099</v>
      </c>
      <c r="V2008" t="s">
        <v>7087</v>
      </c>
      <c r="X2008" t="s">
        <v>7086</v>
      </c>
      <c r="Y2008" t="s">
        <v>36</v>
      </c>
      <c r="Z2008" t="str">
        <f>"86511"</f>
        <v>86511</v>
      </c>
      <c r="AA2008" t="str">
        <f>"0099"</f>
        <v>0099</v>
      </c>
      <c r="AB2008" t="s">
        <v>4547</v>
      </c>
    </row>
    <row r="2009" spans="1:28" x14ac:dyDescent="0.25">
      <c r="A2009">
        <v>80375</v>
      </c>
      <c r="B2009" t="str">
        <f>"093915000"</f>
        <v>093915000</v>
      </c>
      <c r="C2009" t="s">
        <v>7088</v>
      </c>
      <c r="D2009">
        <v>0</v>
      </c>
      <c r="E2009" t="str">
        <f>""</f>
        <v/>
      </c>
      <c r="G2009" t="s">
        <v>29</v>
      </c>
      <c r="H2009" t="s">
        <v>1452</v>
      </c>
      <c r="I2009" t="s">
        <v>7089</v>
      </c>
      <c r="J2009" t="s">
        <v>134</v>
      </c>
      <c r="K2009" t="str">
        <f>"9287252602"</f>
        <v>9287252602</v>
      </c>
      <c r="L2009" t="str">
        <f>"602"</f>
        <v>602</v>
      </c>
      <c r="M2009" t="str">
        <f>"9277253232"</f>
        <v>9277253232</v>
      </c>
      <c r="N2009" t="str">
        <f>""</f>
        <v/>
      </c>
      <c r="O2009" t="s">
        <v>7090</v>
      </c>
      <c r="P2009" t="s">
        <v>7091</v>
      </c>
      <c r="R2009" t="s">
        <v>4021</v>
      </c>
      <c r="S2009" t="s">
        <v>36</v>
      </c>
      <c r="T2009" t="str">
        <f>"86510"</f>
        <v>86510</v>
      </c>
      <c r="U2009" t="str">
        <f>"0159"</f>
        <v>0159</v>
      </c>
      <c r="V2009" t="s">
        <v>5906</v>
      </c>
      <c r="X2009" t="s">
        <v>4021</v>
      </c>
      <c r="Y2009" t="s">
        <v>36</v>
      </c>
      <c r="Z2009" t="str">
        <f>"86510"</f>
        <v>86510</v>
      </c>
      <c r="AA2009" t="str">
        <f>"0159"</f>
        <v>0159</v>
      </c>
      <c r="AB2009" t="s">
        <v>156</v>
      </c>
    </row>
    <row r="2010" spans="1:28" x14ac:dyDescent="0.25">
      <c r="A2010">
        <v>80375</v>
      </c>
      <c r="B2010" t="str">
        <f>"093915000"</f>
        <v>093915000</v>
      </c>
      <c r="C2010" t="s">
        <v>7088</v>
      </c>
      <c r="D2010">
        <v>80376</v>
      </c>
      <c r="E2010" t="str">
        <f>"093915001"</f>
        <v>093915001</v>
      </c>
      <c r="F2010" t="s">
        <v>7092</v>
      </c>
      <c r="G2010" t="s">
        <v>42</v>
      </c>
      <c r="H2010" t="s">
        <v>5136</v>
      </c>
      <c r="I2010" t="s">
        <v>3102</v>
      </c>
      <c r="J2010" t="s">
        <v>2162</v>
      </c>
      <c r="K2010" t="str">
        <f>"9287252635"</f>
        <v>9287252635</v>
      </c>
      <c r="L2010" t="str">
        <f>"635"</f>
        <v>635</v>
      </c>
      <c r="M2010" t="str">
        <f>"9287253232"</f>
        <v>9287253232</v>
      </c>
      <c r="N2010" t="str">
        <f>""</f>
        <v/>
      </c>
      <c r="O2010" t="s">
        <v>7093</v>
      </c>
      <c r="P2010" t="s">
        <v>7091</v>
      </c>
      <c r="R2010" t="s">
        <v>4021</v>
      </c>
      <c r="S2010" t="s">
        <v>36</v>
      </c>
      <c r="T2010" t="str">
        <f>"86510"</f>
        <v>86510</v>
      </c>
      <c r="U2010" t="str">
        <f>"0159"</f>
        <v>0159</v>
      </c>
      <c r="V2010" t="s">
        <v>5906</v>
      </c>
      <c r="X2010" t="s">
        <v>4021</v>
      </c>
      <c r="Y2010" t="s">
        <v>36</v>
      </c>
      <c r="Z2010" t="str">
        <f>"86510"</f>
        <v>86510</v>
      </c>
      <c r="AA2010" t="str">
        <f>"0159"</f>
        <v>0159</v>
      </c>
      <c r="AB2010" t="s">
        <v>156</v>
      </c>
    </row>
    <row r="2011" spans="1:28" x14ac:dyDescent="0.25">
      <c r="A2011">
        <v>80380</v>
      </c>
      <c r="B2011" t="str">
        <f>"219102200"</f>
        <v>219102200</v>
      </c>
      <c r="C2011" t="s">
        <v>7094</v>
      </c>
      <c r="D2011">
        <v>0</v>
      </c>
      <c r="E2011" t="str">
        <f>""</f>
        <v/>
      </c>
      <c r="G2011" t="s">
        <v>29</v>
      </c>
      <c r="H2011" t="s">
        <v>3773</v>
      </c>
      <c r="I2011" t="s">
        <v>7095</v>
      </c>
      <c r="J2011" t="s">
        <v>5223</v>
      </c>
      <c r="K2011" t="str">
        <f>"5205740024"</f>
        <v>5205740024</v>
      </c>
      <c r="L2011" t="str">
        <f>""</f>
        <v/>
      </c>
      <c r="M2011" t="str">
        <f>""</f>
        <v/>
      </c>
      <c r="N2011" t="str">
        <f>""</f>
        <v/>
      </c>
      <c r="O2011" t="s">
        <v>7096</v>
      </c>
      <c r="P2011" t="s">
        <v>7097</v>
      </c>
      <c r="Q2011" t="s">
        <v>7098</v>
      </c>
      <c r="R2011" t="s">
        <v>4169</v>
      </c>
      <c r="S2011" t="s">
        <v>36</v>
      </c>
      <c r="T2011" t="str">
        <f>"85734"</f>
        <v>85734</v>
      </c>
      <c r="U2011" t="str">
        <f>"4400"</f>
        <v>4400</v>
      </c>
      <c r="V2011" t="s">
        <v>7097</v>
      </c>
      <c r="W2011" t="s">
        <v>7098</v>
      </c>
      <c r="X2011" t="s">
        <v>4169</v>
      </c>
      <c r="Y2011" t="s">
        <v>36</v>
      </c>
      <c r="Z2011" t="str">
        <f>"85734"</f>
        <v>85734</v>
      </c>
      <c r="AA2011" t="str">
        <f>"4400"</f>
        <v>4400</v>
      </c>
      <c r="AB2011" t="s">
        <v>249</v>
      </c>
    </row>
    <row r="2012" spans="1:28" x14ac:dyDescent="0.25">
      <c r="A2012">
        <v>80380</v>
      </c>
      <c r="B2012" t="str">
        <f>"219102200"</f>
        <v>219102200</v>
      </c>
      <c r="C2012" t="s">
        <v>7094</v>
      </c>
      <c r="D2012">
        <v>92289</v>
      </c>
      <c r="E2012" t="str">
        <f>"211002201"</f>
        <v>211002201</v>
      </c>
      <c r="F2012" t="s">
        <v>7099</v>
      </c>
      <c r="G2012" t="s">
        <v>42</v>
      </c>
      <c r="H2012" t="s">
        <v>3773</v>
      </c>
      <c r="I2012" t="s">
        <v>7095</v>
      </c>
      <c r="J2012" t="s">
        <v>5223</v>
      </c>
      <c r="K2012" t="str">
        <f>"5205740024"</f>
        <v>5205740024</v>
      </c>
      <c r="L2012" t="str">
        <f>"36250"</f>
        <v>36250</v>
      </c>
      <c r="M2012" t="str">
        <f>"5205747301"</f>
        <v>5205747301</v>
      </c>
      <c r="N2012" t="str">
        <f>""</f>
        <v/>
      </c>
      <c r="O2012" t="s">
        <v>7096</v>
      </c>
      <c r="P2012" t="s">
        <v>7097</v>
      </c>
      <c r="R2012" t="s">
        <v>4169</v>
      </c>
      <c r="S2012" t="s">
        <v>36</v>
      </c>
      <c r="T2012" t="str">
        <f>"85734"</f>
        <v>85734</v>
      </c>
      <c r="U2012" t="str">
        <f>"4400"</f>
        <v>4400</v>
      </c>
      <c r="V2012" t="s">
        <v>7097</v>
      </c>
      <c r="X2012" t="s">
        <v>4169</v>
      </c>
      <c r="Y2012" t="s">
        <v>36</v>
      </c>
      <c r="Z2012" t="str">
        <f>"85734"</f>
        <v>85734</v>
      </c>
      <c r="AA2012" t="str">
        <f>"4400"</f>
        <v>4400</v>
      </c>
      <c r="AB2012" t="s">
        <v>249</v>
      </c>
    </row>
    <row r="2013" spans="1:28" x14ac:dyDescent="0.25">
      <c r="A2013">
        <v>80381</v>
      </c>
      <c r="B2013" t="str">
        <f>"219101001"</f>
        <v>219101001</v>
      </c>
      <c r="C2013" t="s">
        <v>7100</v>
      </c>
      <c r="D2013">
        <v>0</v>
      </c>
      <c r="E2013" t="str">
        <f>""</f>
        <v/>
      </c>
      <c r="G2013" t="s">
        <v>29</v>
      </c>
      <c r="H2013" t="s">
        <v>7101</v>
      </c>
      <c r="I2013" t="s">
        <v>5828</v>
      </c>
      <c r="J2013" t="s">
        <v>32</v>
      </c>
      <c r="K2013" t="str">
        <f>"6238699050"</f>
        <v>6238699050</v>
      </c>
      <c r="L2013" t="str">
        <f>"4232"</f>
        <v>4232</v>
      </c>
      <c r="M2013" t="str">
        <f>""</f>
        <v/>
      </c>
      <c r="N2013" t="str">
        <f>""</f>
        <v/>
      </c>
      <c r="O2013" t="s">
        <v>7102</v>
      </c>
      <c r="P2013" t="s">
        <v>7103</v>
      </c>
      <c r="R2013" t="s">
        <v>964</v>
      </c>
      <c r="S2013" t="s">
        <v>36</v>
      </c>
      <c r="T2013" t="str">
        <f>"85027"</f>
        <v>85027</v>
      </c>
      <c r="U2013" t="str">
        <f>""</f>
        <v/>
      </c>
      <c r="V2013" t="s">
        <v>7103</v>
      </c>
      <c r="X2013" t="s">
        <v>964</v>
      </c>
      <c r="Y2013" t="s">
        <v>36</v>
      </c>
      <c r="Z2013" t="str">
        <f>"85027"</f>
        <v>85027</v>
      </c>
      <c r="AA2013" t="str">
        <f>""</f>
        <v/>
      </c>
      <c r="AB2013" t="s">
        <v>156</v>
      </c>
    </row>
    <row r="2014" spans="1:28" x14ac:dyDescent="0.25">
      <c r="A2014">
        <v>80381</v>
      </c>
      <c r="B2014" t="str">
        <f>"219101001"</f>
        <v>219101001</v>
      </c>
      <c r="C2014" t="s">
        <v>7100</v>
      </c>
      <c r="D2014">
        <v>8327</v>
      </c>
      <c r="E2014" t="str">
        <f>"211001001"</f>
        <v>211001001</v>
      </c>
      <c r="F2014" t="s">
        <v>7100</v>
      </c>
      <c r="G2014" t="s">
        <v>42</v>
      </c>
      <c r="H2014" t="s">
        <v>7101</v>
      </c>
      <c r="I2014" t="s">
        <v>5828</v>
      </c>
      <c r="J2014" t="s">
        <v>195</v>
      </c>
      <c r="K2014" t="str">
        <f>"6238699050"</f>
        <v>6238699050</v>
      </c>
      <c r="L2014" t="str">
        <f>"4232"</f>
        <v>4232</v>
      </c>
      <c r="M2014" t="str">
        <f>""</f>
        <v/>
      </c>
      <c r="N2014" t="str">
        <f>""</f>
        <v/>
      </c>
      <c r="O2014" t="s">
        <v>7104</v>
      </c>
      <c r="P2014" t="s">
        <v>7103</v>
      </c>
      <c r="R2014" t="s">
        <v>964</v>
      </c>
      <c r="S2014" t="s">
        <v>36</v>
      </c>
      <c r="T2014" t="str">
        <f>"85027"</f>
        <v>85027</v>
      </c>
      <c r="U2014" t="str">
        <f>""</f>
        <v/>
      </c>
      <c r="V2014" t="s">
        <v>7103</v>
      </c>
      <c r="X2014" t="s">
        <v>964</v>
      </c>
      <c r="Y2014" t="s">
        <v>36</v>
      </c>
      <c r="Z2014" t="str">
        <f>"85027"</f>
        <v>85027</v>
      </c>
      <c r="AA2014" t="str">
        <f>""</f>
        <v/>
      </c>
      <c r="AB2014" t="s">
        <v>156</v>
      </c>
    </row>
    <row r="2015" spans="1:28" x14ac:dyDescent="0.25">
      <c r="A2015">
        <v>80382</v>
      </c>
      <c r="B2015" t="str">
        <f>"099109000"</f>
        <v>099109000</v>
      </c>
      <c r="C2015" t="s">
        <v>7105</v>
      </c>
      <c r="D2015">
        <v>0</v>
      </c>
      <c r="E2015" t="str">
        <f>""</f>
        <v/>
      </c>
      <c r="G2015" t="s">
        <v>29</v>
      </c>
      <c r="H2015" t="s">
        <v>229</v>
      </c>
      <c r="I2015" t="s">
        <v>7106</v>
      </c>
      <c r="J2015" t="s">
        <v>32</v>
      </c>
      <c r="K2015" t="str">
        <f>"9287382385"</f>
        <v>9287382385</v>
      </c>
      <c r="L2015" t="str">
        <f>"2316"</f>
        <v>2316</v>
      </c>
      <c r="M2015" t="str">
        <f>"9287385519"</f>
        <v>9287385519</v>
      </c>
      <c r="N2015" t="str">
        <f>""</f>
        <v/>
      </c>
      <c r="O2015" t="s">
        <v>7107</v>
      </c>
      <c r="P2015" t="s">
        <v>411</v>
      </c>
      <c r="R2015" t="s">
        <v>4128</v>
      </c>
      <c r="S2015" t="s">
        <v>36</v>
      </c>
      <c r="T2015" t="str">
        <f>"86034"</f>
        <v>86034</v>
      </c>
      <c r="U2015" t="str">
        <f>""</f>
        <v/>
      </c>
      <c r="V2015" t="s">
        <v>7108</v>
      </c>
      <c r="X2015" t="s">
        <v>4128</v>
      </c>
      <c r="Y2015" t="s">
        <v>36</v>
      </c>
      <c r="Z2015" t="str">
        <f>"86034"</f>
        <v>86034</v>
      </c>
      <c r="AA2015" t="str">
        <f>""</f>
        <v/>
      </c>
      <c r="AB2015" t="s">
        <v>508</v>
      </c>
    </row>
    <row r="2016" spans="1:28" x14ac:dyDescent="0.25">
      <c r="A2016">
        <v>80382</v>
      </c>
      <c r="B2016" t="str">
        <f>"099109000"</f>
        <v>099109000</v>
      </c>
      <c r="C2016" t="s">
        <v>7105</v>
      </c>
      <c r="D2016">
        <v>80383</v>
      </c>
      <c r="E2016" t="str">
        <f>"093906001"</f>
        <v>093906001</v>
      </c>
      <c r="F2016" t="s">
        <v>7109</v>
      </c>
      <c r="G2016" t="s">
        <v>42</v>
      </c>
      <c r="H2016" t="s">
        <v>229</v>
      </c>
      <c r="I2016" t="s">
        <v>7106</v>
      </c>
      <c r="J2016" t="s">
        <v>7110</v>
      </c>
      <c r="K2016" t="str">
        <f>"9287382385"</f>
        <v>9287382385</v>
      </c>
      <c r="L2016" t="str">
        <f>""</f>
        <v/>
      </c>
      <c r="M2016" t="str">
        <f>"9287385519"</f>
        <v>9287385519</v>
      </c>
      <c r="N2016" t="str">
        <f>""</f>
        <v/>
      </c>
      <c r="O2016" t="s">
        <v>7107</v>
      </c>
      <c r="P2016" t="s">
        <v>411</v>
      </c>
      <c r="R2016" t="s">
        <v>4128</v>
      </c>
      <c r="S2016" t="s">
        <v>36</v>
      </c>
      <c r="T2016" t="str">
        <f>"86034"</f>
        <v>86034</v>
      </c>
      <c r="U2016" t="str">
        <f>"0397"</f>
        <v>0397</v>
      </c>
      <c r="V2016" t="s">
        <v>7108</v>
      </c>
      <c r="X2016" t="s">
        <v>4128</v>
      </c>
      <c r="Y2016" t="s">
        <v>36</v>
      </c>
      <c r="Z2016" t="str">
        <f>"86034"</f>
        <v>86034</v>
      </c>
      <c r="AA2016" t="str">
        <f>"0397"</f>
        <v>0397</v>
      </c>
      <c r="AB2016" t="s">
        <v>508</v>
      </c>
    </row>
    <row r="2017" spans="1:28" x14ac:dyDescent="0.25">
      <c r="A2017">
        <v>80406</v>
      </c>
      <c r="B2017" t="str">
        <f>"073901000"</f>
        <v>073901000</v>
      </c>
      <c r="C2017" t="s">
        <v>7111</v>
      </c>
      <c r="D2017">
        <v>0</v>
      </c>
      <c r="E2017" t="str">
        <f>""</f>
        <v/>
      </c>
      <c r="G2017" t="s">
        <v>29</v>
      </c>
      <c r="H2017" t="s">
        <v>5666</v>
      </c>
      <c r="I2017" t="s">
        <v>3000</v>
      </c>
      <c r="J2017" t="s">
        <v>486</v>
      </c>
      <c r="K2017" t="str">
        <f>"5205504834"</f>
        <v>5205504834</v>
      </c>
      <c r="L2017" t="str">
        <f>"359"</f>
        <v>359</v>
      </c>
      <c r="M2017" t="str">
        <f>"5205504252"</f>
        <v>5205504252</v>
      </c>
      <c r="N2017" t="str">
        <f>""</f>
        <v/>
      </c>
      <c r="O2017" t="s">
        <v>7112</v>
      </c>
      <c r="P2017" t="s">
        <v>7113</v>
      </c>
      <c r="R2017" t="s">
        <v>2997</v>
      </c>
      <c r="S2017" t="s">
        <v>36</v>
      </c>
      <c r="T2017" t="str">
        <f>"85339"</f>
        <v>85339</v>
      </c>
      <c r="U2017" t="str">
        <f>"0809"</f>
        <v>0809</v>
      </c>
      <c r="V2017" t="s">
        <v>7114</v>
      </c>
      <c r="X2017" t="s">
        <v>2997</v>
      </c>
      <c r="Y2017" t="s">
        <v>36</v>
      </c>
      <c r="Z2017" t="str">
        <f>"85339"</f>
        <v>85339</v>
      </c>
      <c r="AA2017" t="str">
        <f>"0809"</f>
        <v>0809</v>
      </c>
      <c r="AB2017" t="s">
        <v>249</v>
      </c>
    </row>
    <row r="2018" spans="1:28" x14ac:dyDescent="0.25">
      <c r="A2018">
        <v>80406</v>
      </c>
      <c r="B2018" t="str">
        <f>"073901000"</f>
        <v>073901000</v>
      </c>
      <c r="C2018" t="s">
        <v>7111</v>
      </c>
      <c r="D2018">
        <v>80407</v>
      </c>
      <c r="E2018" t="str">
        <f>"073901001"</f>
        <v>073901001</v>
      </c>
      <c r="F2018" t="s">
        <v>7111</v>
      </c>
      <c r="G2018" t="s">
        <v>42</v>
      </c>
      <c r="H2018" t="s">
        <v>260</v>
      </c>
      <c r="I2018" t="s">
        <v>3505</v>
      </c>
      <c r="J2018" t="s">
        <v>520</v>
      </c>
      <c r="K2018" t="str">
        <f>"5205504834"</f>
        <v>5205504834</v>
      </c>
      <c r="L2018" t="str">
        <f>"234"</f>
        <v>234</v>
      </c>
      <c r="M2018" t="str">
        <f>"5205504252"</f>
        <v>5205504252</v>
      </c>
      <c r="N2018" t="str">
        <f>""</f>
        <v/>
      </c>
      <c r="O2018" t="s">
        <v>7115</v>
      </c>
      <c r="P2018" t="s">
        <v>7116</v>
      </c>
      <c r="R2018" t="s">
        <v>7117</v>
      </c>
      <c r="S2018" t="s">
        <v>36</v>
      </c>
      <c r="T2018" t="str">
        <f>"85339"</f>
        <v>85339</v>
      </c>
      <c r="U2018" t="str">
        <f>""</f>
        <v/>
      </c>
      <c r="V2018" t="s">
        <v>7118</v>
      </c>
      <c r="X2018" t="s">
        <v>7117</v>
      </c>
      <c r="Y2018" t="s">
        <v>36</v>
      </c>
      <c r="Z2018" t="str">
        <f>"85339"</f>
        <v>85339</v>
      </c>
      <c r="AA2018" t="str">
        <f>""</f>
        <v/>
      </c>
      <c r="AB2018" t="s">
        <v>249</v>
      </c>
    </row>
    <row r="2019" spans="1:28" x14ac:dyDescent="0.25">
      <c r="A2019">
        <v>80415</v>
      </c>
      <c r="B2019" t="str">
        <f>"093916000"</f>
        <v>093916000</v>
      </c>
      <c r="C2019" t="s">
        <v>7119</v>
      </c>
      <c r="D2019">
        <v>0</v>
      </c>
      <c r="E2019" t="str">
        <f>""</f>
        <v/>
      </c>
      <c r="G2019" t="s">
        <v>29</v>
      </c>
      <c r="H2019" t="s">
        <v>373</v>
      </c>
      <c r="I2019" t="s">
        <v>7120</v>
      </c>
      <c r="J2019" t="s">
        <v>3361</v>
      </c>
      <c r="K2019" t="str">
        <f>"9283322444"</f>
        <v>9283322444</v>
      </c>
      <c r="L2019" t="str">
        <f>"1049"</f>
        <v>1049</v>
      </c>
      <c r="M2019" t="str">
        <f>"9283322341"</f>
        <v>9283322341</v>
      </c>
      <c r="N2019" t="str">
        <f>""</f>
        <v/>
      </c>
      <c r="O2019" t="s">
        <v>7121</v>
      </c>
      <c r="P2019" t="s">
        <v>7122</v>
      </c>
      <c r="R2019" t="s">
        <v>7123</v>
      </c>
      <c r="S2019" t="s">
        <v>36</v>
      </c>
      <c r="T2019" t="str">
        <f>"85911"</f>
        <v>85911</v>
      </c>
      <c r="U2019" t="str">
        <f>"0068"</f>
        <v>0068</v>
      </c>
      <c r="V2019" t="s">
        <v>7124</v>
      </c>
      <c r="X2019" t="s">
        <v>7123</v>
      </c>
      <c r="Y2019" t="s">
        <v>36</v>
      </c>
      <c r="Z2019" t="str">
        <f>"85911"</f>
        <v>85911</v>
      </c>
      <c r="AA2019" t="str">
        <f>""</f>
        <v/>
      </c>
      <c r="AB2019" t="s">
        <v>86</v>
      </c>
    </row>
    <row r="2020" spans="1:28" x14ac:dyDescent="0.25">
      <c r="A2020">
        <v>80415</v>
      </c>
      <c r="B2020" t="str">
        <f>"093916000"</f>
        <v>093916000</v>
      </c>
      <c r="C2020" t="s">
        <v>7119</v>
      </c>
      <c r="D2020">
        <v>80416</v>
      </c>
      <c r="E2020" t="str">
        <f>"104001005"</f>
        <v>104001005</v>
      </c>
      <c r="F2020" t="s">
        <v>7125</v>
      </c>
      <c r="G2020" t="s">
        <v>42</v>
      </c>
      <c r="H2020" t="s">
        <v>373</v>
      </c>
      <c r="I2020" t="s">
        <v>7120</v>
      </c>
      <c r="J2020" t="s">
        <v>3361</v>
      </c>
      <c r="K2020" t="str">
        <f>"9283322444"</f>
        <v>9283322444</v>
      </c>
      <c r="L2020" t="str">
        <f>"1049"</f>
        <v>1049</v>
      </c>
      <c r="M2020" t="str">
        <f>"9283322341"</f>
        <v>9283322341</v>
      </c>
      <c r="N2020" t="str">
        <f>""</f>
        <v/>
      </c>
      <c r="O2020" t="s">
        <v>7121</v>
      </c>
      <c r="P2020" t="s">
        <v>7126</v>
      </c>
      <c r="R2020" t="s">
        <v>7123</v>
      </c>
      <c r="S2020" t="s">
        <v>36</v>
      </c>
      <c r="T2020" t="str">
        <f>"85911"</f>
        <v>85911</v>
      </c>
      <c r="U2020" t="str">
        <f>""</f>
        <v/>
      </c>
      <c r="V2020" t="s">
        <v>7127</v>
      </c>
      <c r="X2020" t="s">
        <v>7123</v>
      </c>
      <c r="Y2020" t="s">
        <v>36</v>
      </c>
      <c r="Z2020" t="str">
        <f>"85911"</f>
        <v>85911</v>
      </c>
      <c r="AA2020" t="str">
        <f>""</f>
        <v/>
      </c>
      <c r="AB2020" t="s">
        <v>86</v>
      </c>
    </row>
    <row r="2021" spans="1:28" x14ac:dyDescent="0.25">
      <c r="A2021">
        <v>80467</v>
      </c>
      <c r="B2021" t="str">
        <f>"122002000"</f>
        <v>122002000</v>
      </c>
      <c r="C2021" t="s">
        <v>7128</v>
      </c>
      <c r="D2021">
        <v>0</v>
      </c>
      <c r="E2021" t="str">
        <f>""</f>
        <v/>
      </c>
      <c r="G2021" t="s">
        <v>29</v>
      </c>
      <c r="H2021" t="s">
        <v>7129</v>
      </c>
      <c r="I2021" t="s">
        <v>7130</v>
      </c>
      <c r="J2021" t="s">
        <v>486</v>
      </c>
      <c r="K2021" t="str">
        <f>"5202872223"</f>
        <v>5202872223</v>
      </c>
      <c r="L2021" t="str">
        <f>"236"</f>
        <v>236</v>
      </c>
      <c r="M2021" t="str">
        <f>"5202873373"</f>
        <v>5202873373</v>
      </c>
      <c r="N2021" t="str">
        <f>""</f>
        <v/>
      </c>
      <c r="O2021" t="s">
        <v>7131</v>
      </c>
      <c r="P2021" t="s">
        <v>7132</v>
      </c>
      <c r="R2021" t="s">
        <v>5129</v>
      </c>
      <c r="S2021" t="s">
        <v>36</v>
      </c>
      <c r="T2021" t="str">
        <f>"85621"</f>
        <v>85621</v>
      </c>
      <c r="U2021" t="str">
        <f>""</f>
        <v/>
      </c>
      <c r="V2021" t="s">
        <v>7132</v>
      </c>
      <c r="X2021" t="s">
        <v>5129</v>
      </c>
      <c r="Y2021" t="s">
        <v>36</v>
      </c>
      <c r="Z2021" t="str">
        <f>"85621"</f>
        <v>85621</v>
      </c>
      <c r="AA2021" t="str">
        <f>""</f>
        <v/>
      </c>
      <c r="AB2021" t="s">
        <v>2235</v>
      </c>
    </row>
    <row r="2022" spans="1:28" x14ac:dyDescent="0.25">
      <c r="A2022">
        <v>80467</v>
      </c>
      <c r="B2022" t="str">
        <f>"122002000"</f>
        <v>122002000</v>
      </c>
      <c r="C2022" t="s">
        <v>7128</v>
      </c>
      <c r="D2022">
        <v>80468</v>
      </c>
      <c r="E2022" t="str">
        <f>"122002001"</f>
        <v>122002001</v>
      </c>
      <c r="F2022" t="s">
        <v>7128</v>
      </c>
      <c r="G2022" t="s">
        <v>42</v>
      </c>
      <c r="H2022" t="s">
        <v>7133</v>
      </c>
      <c r="I2022" t="s">
        <v>7134</v>
      </c>
      <c r="J2022" t="s">
        <v>7135</v>
      </c>
      <c r="K2022" t="str">
        <f>"5202872223"</f>
        <v>5202872223</v>
      </c>
      <c r="L2022" t="str">
        <f>"235"</f>
        <v>235</v>
      </c>
      <c r="M2022" t="str">
        <f>"5202873373"</f>
        <v>5202873373</v>
      </c>
      <c r="N2022" t="str">
        <f>""</f>
        <v/>
      </c>
      <c r="O2022" t="s">
        <v>7136</v>
      </c>
      <c r="P2022" t="s">
        <v>7132</v>
      </c>
      <c r="R2022" t="s">
        <v>5129</v>
      </c>
      <c r="S2022" t="s">
        <v>36</v>
      </c>
      <c r="T2022" t="str">
        <f>"85621"</f>
        <v>85621</v>
      </c>
      <c r="U2022" t="str">
        <f>""</f>
        <v/>
      </c>
      <c r="V2022" t="s">
        <v>7132</v>
      </c>
      <c r="X2022" t="s">
        <v>5129</v>
      </c>
      <c r="Y2022" t="s">
        <v>36</v>
      </c>
      <c r="Z2022" t="str">
        <f>"85621"</f>
        <v>85621</v>
      </c>
      <c r="AA2022" t="str">
        <f>""</f>
        <v/>
      </c>
      <c r="AB2022" t="s">
        <v>2235</v>
      </c>
    </row>
    <row r="2023" spans="1:28" x14ac:dyDescent="0.25">
      <c r="A2023">
        <v>80989</v>
      </c>
      <c r="B2023" t="str">
        <f>"078983000"</f>
        <v>078983000</v>
      </c>
      <c r="C2023" t="s">
        <v>7137</v>
      </c>
      <c r="D2023">
        <v>0</v>
      </c>
      <c r="E2023" t="str">
        <f>""</f>
        <v/>
      </c>
      <c r="G2023" t="s">
        <v>29</v>
      </c>
      <c r="H2023" t="s">
        <v>3744</v>
      </c>
      <c r="I2023" t="s">
        <v>590</v>
      </c>
      <c r="J2023" t="s">
        <v>3745</v>
      </c>
      <c r="K2023" t="str">
        <f>"6029532933"</f>
        <v>6029532933</v>
      </c>
      <c r="L2023" t="str">
        <f>""</f>
        <v/>
      </c>
      <c r="M2023" t="str">
        <f>""</f>
        <v/>
      </c>
      <c r="N2023" t="str">
        <f>""</f>
        <v/>
      </c>
      <c r="O2023" t="s">
        <v>3746</v>
      </c>
      <c r="P2023" t="s">
        <v>3747</v>
      </c>
      <c r="R2023" t="s">
        <v>964</v>
      </c>
      <c r="S2023" t="s">
        <v>36</v>
      </c>
      <c r="T2023" t="str">
        <f>"85020"</f>
        <v>85020</v>
      </c>
      <c r="U2023" t="str">
        <f>""</f>
        <v/>
      </c>
      <c r="V2023" t="s">
        <v>3747</v>
      </c>
      <c r="X2023" t="s">
        <v>964</v>
      </c>
      <c r="Y2023" t="s">
        <v>36</v>
      </c>
      <c r="Z2023" t="str">
        <f>"85020"</f>
        <v>85020</v>
      </c>
      <c r="AA2023" t="str">
        <f>""</f>
        <v/>
      </c>
      <c r="AB2023" t="s">
        <v>1466</v>
      </c>
    </row>
    <row r="2024" spans="1:28" x14ac:dyDescent="0.25">
      <c r="A2024">
        <v>80989</v>
      </c>
      <c r="B2024" t="str">
        <f>"078983000"</f>
        <v>078983000</v>
      </c>
      <c r="C2024" t="s">
        <v>7137</v>
      </c>
      <c r="D2024">
        <v>80990</v>
      </c>
      <c r="E2024" t="str">
        <f>"078983201"</f>
        <v>078983201</v>
      </c>
      <c r="F2024" t="s">
        <v>7138</v>
      </c>
      <c r="G2024" t="s">
        <v>42</v>
      </c>
      <c r="H2024" t="s">
        <v>4851</v>
      </c>
      <c r="I2024" t="s">
        <v>3738</v>
      </c>
      <c r="J2024" t="s">
        <v>6572</v>
      </c>
      <c r="K2024" t="str">
        <f>"6022430600"</f>
        <v>6022430600</v>
      </c>
      <c r="L2024" t="str">
        <f>""</f>
        <v/>
      </c>
      <c r="M2024" t="str">
        <f>"6022430800"</f>
        <v>6022430800</v>
      </c>
      <c r="N2024" t="str">
        <f>""</f>
        <v/>
      </c>
      <c r="O2024" t="s">
        <v>7139</v>
      </c>
      <c r="P2024" t="s">
        <v>7140</v>
      </c>
      <c r="R2024" t="s">
        <v>964</v>
      </c>
      <c r="S2024" t="s">
        <v>36</v>
      </c>
      <c r="T2024" t="str">
        <f>"85042"</f>
        <v>85042</v>
      </c>
      <c r="U2024" t="str">
        <f>""</f>
        <v/>
      </c>
      <c r="V2024" t="s">
        <v>7140</v>
      </c>
      <c r="X2024" t="s">
        <v>964</v>
      </c>
      <c r="Y2024" t="s">
        <v>36</v>
      </c>
      <c r="Z2024" t="str">
        <f>"85042"</f>
        <v>85042</v>
      </c>
      <c r="AA2024" t="str">
        <f>""</f>
        <v/>
      </c>
      <c r="AB2024" t="s">
        <v>1466</v>
      </c>
    </row>
    <row r="2025" spans="1:28" x14ac:dyDescent="0.25">
      <c r="A2025">
        <v>80995</v>
      </c>
      <c r="B2025" t="str">
        <f>"108794000"</f>
        <v>108794000</v>
      </c>
      <c r="C2025" t="s">
        <v>7141</v>
      </c>
      <c r="D2025">
        <v>0</v>
      </c>
      <c r="E2025" t="str">
        <f>""</f>
        <v/>
      </c>
      <c r="G2025" t="s">
        <v>29</v>
      </c>
      <c r="H2025" t="s">
        <v>3744</v>
      </c>
      <c r="I2025" t="s">
        <v>590</v>
      </c>
      <c r="J2025" t="s">
        <v>3745</v>
      </c>
      <c r="K2025" t="str">
        <f>"6029532933"</f>
        <v>6029532933</v>
      </c>
      <c r="L2025" t="str">
        <f>""</f>
        <v/>
      </c>
      <c r="M2025" t="str">
        <f>""</f>
        <v/>
      </c>
      <c r="N2025" t="str">
        <f>""</f>
        <v/>
      </c>
      <c r="O2025" t="s">
        <v>3746</v>
      </c>
      <c r="P2025" t="s">
        <v>7142</v>
      </c>
      <c r="Q2025" t="s">
        <v>7143</v>
      </c>
      <c r="R2025" t="s">
        <v>964</v>
      </c>
      <c r="S2025" t="s">
        <v>36</v>
      </c>
      <c r="T2025" t="str">
        <f>"85020"</f>
        <v>85020</v>
      </c>
      <c r="U2025" t="str">
        <f>""</f>
        <v/>
      </c>
      <c r="V2025" t="s">
        <v>7144</v>
      </c>
      <c r="X2025" t="s">
        <v>4169</v>
      </c>
      <c r="Y2025" t="s">
        <v>36</v>
      </c>
      <c r="Z2025" t="str">
        <f>"85706"</f>
        <v>85706</v>
      </c>
      <c r="AA2025" t="str">
        <f>""</f>
        <v/>
      </c>
      <c r="AB2025" t="s">
        <v>1466</v>
      </c>
    </row>
    <row r="2026" spans="1:28" x14ac:dyDescent="0.25">
      <c r="A2026">
        <v>80995</v>
      </c>
      <c r="B2026" t="str">
        <f>"108794000"</f>
        <v>108794000</v>
      </c>
      <c r="C2026" t="s">
        <v>7141</v>
      </c>
      <c r="D2026">
        <v>80996</v>
      </c>
      <c r="E2026" t="str">
        <f>"108794201"</f>
        <v>108794201</v>
      </c>
      <c r="F2026" t="s">
        <v>7145</v>
      </c>
      <c r="G2026" t="s">
        <v>42</v>
      </c>
      <c r="H2026" t="s">
        <v>7146</v>
      </c>
      <c r="I2026" t="s">
        <v>7147</v>
      </c>
      <c r="J2026" t="s">
        <v>710</v>
      </c>
      <c r="K2026" t="str">
        <f>"5202944922"</f>
        <v>5202944922</v>
      </c>
      <c r="L2026" t="str">
        <f>""</f>
        <v/>
      </c>
      <c r="M2026" t="str">
        <f>"5202944933"</f>
        <v>5202944933</v>
      </c>
      <c r="N2026" t="str">
        <f>""</f>
        <v/>
      </c>
      <c r="O2026" t="s">
        <v>7148</v>
      </c>
      <c r="P2026" t="s">
        <v>7149</v>
      </c>
      <c r="R2026" t="s">
        <v>4169</v>
      </c>
      <c r="S2026" t="s">
        <v>36</v>
      </c>
      <c r="T2026" t="str">
        <f>"85706"</f>
        <v>85706</v>
      </c>
      <c r="U2026" t="str">
        <f>""</f>
        <v/>
      </c>
      <c r="V2026" t="s">
        <v>7149</v>
      </c>
      <c r="X2026" t="s">
        <v>4169</v>
      </c>
      <c r="Y2026" t="s">
        <v>36</v>
      </c>
      <c r="Z2026" t="str">
        <f>"85706"</f>
        <v>85706</v>
      </c>
      <c r="AA2026" t="str">
        <f>""</f>
        <v/>
      </c>
      <c r="AB2026" t="s">
        <v>1466</v>
      </c>
    </row>
    <row r="2027" spans="1:28" x14ac:dyDescent="0.25">
      <c r="A2027">
        <v>81027</v>
      </c>
      <c r="B2027" t="str">
        <f>"028701000"</f>
        <v>028701000</v>
      </c>
      <c r="C2027" t="s">
        <v>7150</v>
      </c>
      <c r="D2027">
        <v>0</v>
      </c>
      <c r="E2027" t="str">
        <f>""</f>
        <v/>
      </c>
      <c r="G2027" t="s">
        <v>29</v>
      </c>
      <c r="H2027" t="s">
        <v>5460</v>
      </c>
      <c r="I2027" t="s">
        <v>5461</v>
      </c>
      <c r="J2027" t="s">
        <v>32</v>
      </c>
      <c r="K2027" t="str">
        <f>"6026966651"</f>
        <v>6026966651</v>
      </c>
      <c r="L2027" t="str">
        <f>""</f>
        <v/>
      </c>
      <c r="M2027" t="str">
        <f>""</f>
        <v/>
      </c>
      <c r="N2027" t="str">
        <f>""</f>
        <v/>
      </c>
      <c r="O2027" t="s">
        <v>5462</v>
      </c>
      <c r="P2027" t="s">
        <v>7151</v>
      </c>
      <c r="R2027" t="s">
        <v>365</v>
      </c>
      <c r="S2027" t="s">
        <v>36</v>
      </c>
      <c r="T2027" t="str">
        <f>"85635"</f>
        <v>85635</v>
      </c>
      <c r="U2027" t="str">
        <f>""</f>
        <v/>
      </c>
      <c r="V2027" t="s">
        <v>7152</v>
      </c>
      <c r="X2027" t="s">
        <v>365</v>
      </c>
      <c r="Y2027" t="s">
        <v>36</v>
      </c>
      <c r="Z2027" t="str">
        <f>"85635"</f>
        <v>85635</v>
      </c>
      <c r="AA2027" t="str">
        <f>""</f>
        <v/>
      </c>
      <c r="AB2027" t="s">
        <v>821</v>
      </c>
    </row>
    <row r="2028" spans="1:28" x14ac:dyDescent="0.25">
      <c r="A2028">
        <v>81027</v>
      </c>
      <c r="B2028" t="str">
        <f>"028701000"</f>
        <v>028701000</v>
      </c>
      <c r="C2028" t="s">
        <v>7150</v>
      </c>
      <c r="D2028">
        <v>81028</v>
      </c>
      <c r="E2028" t="str">
        <f>"028701001"</f>
        <v>028701001</v>
      </c>
      <c r="F2028" t="s">
        <v>7153</v>
      </c>
      <c r="G2028" t="s">
        <v>42</v>
      </c>
      <c r="H2028" t="s">
        <v>5460</v>
      </c>
      <c r="I2028" t="s">
        <v>5461</v>
      </c>
      <c r="J2028" t="s">
        <v>7154</v>
      </c>
      <c r="K2028" t="str">
        <f>"5206966651"</f>
        <v>5206966651</v>
      </c>
      <c r="L2028" t="str">
        <f>""</f>
        <v/>
      </c>
      <c r="M2028" t="str">
        <f>"5204594121"</f>
        <v>5204594121</v>
      </c>
      <c r="N2028" t="str">
        <f>""</f>
        <v/>
      </c>
      <c r="O2028" t="s">
        <v>5462</v>
      </c>
      <c r="P2028" t="s">
        <v>7151</v>
      </c>
      <c r="R2028" t="s">
        <v>365</v>
      </c>
      <c r="S2028" t="s">
        <v>36</v>
      </c>
      <c r="T2028" t="str">
        <f>"85635"</f>
        <v>85635</v>
      </c>
      <c r="U2028" t="str">
        <f>""</f>
        <v/>
      </c>
      <c r="V2028" t="s">
        <v>7155</v>
      </c>
      <c r="X2028" t="s">
        <v>365</v>
      </c>
      <c r="Y2028" t="s">
        <v>36</v>
      </c>
      <c r="Z2028" t="str">
        <f>"85635"</f>
        <v>85635</v>
      </c>
      <c r="AA2028" t="str">
        <f>""</f>
        <v/>
      </c>
      <c r="AB2028" t="s">
        <v>821</v>
      </c>
    </row>
    <row r="2029" spans="1:28" x14ac:dyDescent="0.25">
      <c r="A2029">
        <v>81076</v>
      </c>
      <c r="B2029" t="str">
        <f>"078985000"</f>
        <v>078985000</v>
      </c>
      <c r="C2029" t="s">
        <v>7156</v>
      </c>
      <c r="D2029">
        <v>0</v>
      </c>
      <c r="E2029" t="str">
        <f>""</f>
        <v/>
      </c>
      <c r="G2029" t="s">
        <v>29</v>
      </c>
      <c r="H2029" t="s">
        <v>7157</v>
      </c>
      <c r="I2029" t="s">
        <v>7158</v>
      </c>
      <c r="J2029" t="s">
        <v>32</v>
      </c>
      <c r="K2029" t="str">
        <f>"6234663068"</f>
        <v>6234663068</v>
      </c>
      <c r="L2029" t="str">
        <f>""</f>
        <v/>
      </c>
      <c r="M2029" t="str">
        <f>""</f>
        <v/>
      </c>
      <c r="N2029" t="str">
        <f>""</f>
        <v/>
      </c>
      <c r="O2029" t="s">
        <v>7159</v>
      </c>
      <c r="P2029" t="s">
        <v>6659</v>
      </c>
      <c r="R2029" t="s">
        <v>4169</v>
      </c>
      <c r="S2029" t="s">
        <v>36</v>
      </c>
      <c r="T2029" t="str">
        <f>"85712"</f>
        <v>85712</v>
      </c>
      <c r="U2029" t="str">
        <f>""</f>
        <v/>
      </c>
      <c r="V2029" t="s">
        <v>7160</v>
      </c>
      <c r="X2029" t="s">
        <v>1173</v>
      </c>
      <c r="Y2029" t="s">
        <v>36</v>
      </c>
      <c r="Z2029" t="str">
        <f>"85307"</f>
        <v>85307</v>
      </c>
      <c r="AA2029" t="str">
        <f>""</f>
        <v/>
      </c>
      <c r="AB2029" t="s">
        <v>821</v>
      </c>
    </row>
    <row r="2030" spans="1:28" x14ac:dyDescent="0.25">
      <c r="A2030">
        <v>81076</v>
      </c>
      <c r="B2030" t="str">
        <f>"078985000"</f>
        <v>078985000</v>
      </c>
      <c r="C2030" t="s">
        <v>7156</v>
      </c>
      <c r="D2030">
        <v>78811</v>
      </c>
      <c r="E2030" t="str">
        <f>"078784101"</f>
        <v>078784101</v>
      </c>
      <c r="F2030" t="s">
        <v>7161</v>
      </c>
      <c r="G2030" t="s">
        <v>42</v>
      </c>
      <c r="H2030" t="s">
        <v>7157</v>
      </c>
      <c r="I2030" t="s">
        <v>7158</v>
      </c>
      <c r="J2030" t="s">
        <v>32</v>
      </c>
      <c r="K2030" t="str">
        <f>"6234663068"</f>
        <v>6234663068</v>
      </c>
      <c r="L2030" t="str">
        <f>""</f>
        <v/>
      </c>
      <c r="M2030" t="str">
        <f>"6023539270"</f>
        <v>6023539270</v>
      </c>
      <c r="N2030" t="str">
        <f>""</f>
        <v/>
      </c>
      <c r="O2030" t="s">
        <v>7162</v>
      </c>
      <c r="P2030" t="s">
        <v>7163</v>
      </c>
      <c r="R2030" t="s">
        <v>964</v>
      </c>
      <c r="S2030" t="s">
        <v>36</v>
      </c>
      <c r="T2030" t="str">
        <f>"85031"</f>
        <v>85031</v>
      </c>
      <c r="U2030" t="str">
        <f>""</f>
        <v/>
      </c>
      <c r="V2030" t="s">
        <v>7163</v>
      </c>
      <c r="X2030" t="s">
        <v>964</v>
      </c>
      <c r="Y2030" t="s">
        <v>36</v>
      </c>
      <c r="Z2030" t="str">
        <f>"85031"</f>
        <v>85031</v>
      </c>
      <c r="AA2030" t="str">
        <f>""</f>
        <v/>
      </c>
      <c r="AB2030" t="s">
        <v>821</v>
      </c>
    </row>
    <row r="2031" spans="1:28" x14ac:dyDescent="0.25">
      <c r="A2031">
        <v>81076</v>
      </c>
      <c r="B2031" t="str">
        <f>"078985000"</f>
        <v>078985000</v>
      </c>
      <c r="C2031" t="s">
        <v>7156</v>
      </c>
      <c r="D2031">
        <v>81077</v>
      </c>
      <c r="E2031" t="str">
        <f>"078985101"</f>
        <v>078985101</v>
      </c>
      <c r="F2031" t="s">
        <v>7156</v>
      </c>
      <c r="G2031" t="s">
        <v>42</v>
      </c>
      <c r="H2031" t="s">
        <v>7157</v>
      </c>
      <c r="I2031" t="s">
        <v>7158</v>
      </c>
      <c r="J2031" t="s">
        <v>32</v>
      </c>
      <c r="K2031" t="str">
        <f>"6234663068"</f>
        <v>6234663068</v>
      </c>
      <c r="L2031" t="str">
        <f>""</f>
        <v/>
      </c>
      <c r="M2031" t="str">
        <f>"6237423957"</f>
        <v>6237423957</v>
      </c>
      <c r="N2031" t="str">
        <f>""</f>
        <v/>
      </c>
      <c r="O2031" t="s">
        <v>7162</v>
      </c>
      <c r="P2031" t="s">
        <v>7164</v>
      </c>
      <c r="R2031" t="s">
        <v>1173</v>
      </c>
      <c r="S2031" t="s">
        <v>36</v>
      </c>
      <c r="T2031" t="str">
        <f>"85307"</f>
        <v>85307</v>
      </c>
      <c r="U2031" t="str">
        <f>""</f>
        <v/>
      </c>
      <c r="V2031" t="s">
        <v>7164</v>
      </c>
      <c r="X2031" t="s">
        <v>1173</v>
      </c>
      <c r="Y2031" t="s">
        <v>36</v>
      </c>
      <c r="Z2031" t="str">
        <f>"85307"</f>
        <v>85307</v>
      </c>
      <c r="AA2031" t="str">
        <f>""</f>
        <v/>
      </c>
      <c r="AB2031" t="s">
        <v>821</v>
      </c>
    </row>
    <row r="2032" spans="1:28" x14ac:dyDescent="0.25">
      <c r="A2032">
        <v>81076</v>
      </c>
      <c r="B2032" t="str">
        <f>"078985000"</f>
        <v>078985000</v>
      </c>
      <c r="C2032" t="s">
        <v>7156</v>
      </c>
      <c r="D2032">
        <v>89624</v>
      </c>
      <c r="E2032" t="str">
        <f>"078985103"</f>
        <v>078985103</v>
      </c>
      <c r="F2032" t="s">
        <v>7165</v>
      </c>
      <c r="G2032" t="s">
        <v>42</v>
      </c>
      <c r="H2032" t="s">
        <v>3602</v>
      </c>
      <c r="I2032" t="s">
        <v>417</v>
      </c>
      <c r="J2032" t="s">
        <v>32</v>
      </c>
      <c r="K2032" t="str">
        <f>"5206610328"</f>
        <v>5206610328</v>
      </c>
      <c r="L2032" t="str">
        <f>""</f>
        <v/>
      </c>
      <c r="M2032" t="str">
        <f>"9286353999"</f>
        <v>9286353999</v>
      </c>
      <c r="N2032" t="str">
        <f>""</f>
        <v/>
      </c>
      <c r="O2032" t="s">
        <v>6662</v>
      </c>
      <c r="P2032" t="s">
        <v>7166</v>
      </c>
      <c r="R2032" t="s">
        <v>590</v>
      </c>
      <c r="S2032" t="s">
        <v>36</v>
      </c>
      <c r="T2032" t="str">
        <f>"86046"</f>
        <v>86046</v>
      </c>
      <c r="U2032" t="str">
        <f>""</f>
        <v/>
      </c>
      <c r="V2032" t="s">
        <v>7166</v>
      </c>
      <c r="X2032" t="s">
        <v>590</v>
      </c>
      <c r="Y2032" t="s">
        <v>36</v>
      </c>
      <c r="Z2032" t="str">
        <f>"86046"</f>
        <v>86046</v>
      </c>
      <c r="AA2032" t="str">
        <f>""</f>
        <v/>
      </c>
      <c r="AB2032" t="s">
        <v>821</v>
      </c>
    </row>
    <row r="2033" spans="1:28" x14ac:dyDescent="0.25">
      <c r="A2033">
        <v>81076</v>
      </c>
      <c r="B2033" t="str">
        <f>"078985000"</f>
        <v>078985000</v>
      </c>
      <c r="C2033" t="s">
        <v>7156</v>
      </c>
      <c r="D2033">
        <v>91204</v>
      </c>
      <c r="E2033" t="str">
        <f>"078784104"</f>
        <v>078784104</v>
      </c>
      <c r="F2033" t="s">
        <v>7167</v>
      </c>
      <c r="G2033" t="s">
        <v>42</v>
      </c>
      <c r="H2033" t="s">
        <v>3602</v>
      </c>
      <c r="I2033" t="s">
        <v>417</v>
      </c>
      <c r="J2033" t="s">
        <v>32</v>
      </c>
      <c r="K2033" t="str">
        <f>"5207337373"</f>
        <v>5207337373</v>
      </c>
      <c r="L2033" t="str">
        <f>""</f>
        <v/>
      </c>
      <c r="M2033" t="str">
        <f>""</f>
        <v/>
      </c>
      <c r="N2033" t="str">
        <f>""</f>
        <v/>
      </c>
      <c r="O2033" t="s">
        <v>6662</v>
      </c>
      <c r="P2033" t="s">
        <v>7168</v>
      </c>
      <c r="R2033" t="s">
        <v>336</v>
      </c>
      <c r="S2033" t="s">
        <v>36</v>
      </c>
      <c r="T2033" t="str">
        <f>"85607"</f>
        <v>85607</v>
      </c>
      <c r="U2033" t="str">
        <f>""</f>
        <v/>
      </c>
      <c r="V2033" t="s">
        <v>7168</v>
      </c>
      <c r="X2033" t="s">
        <v>336</v>
      </c>
      <c r="Y2033" t="s">
        <v>36</v>
      </c>
      <c r="Z2033" t="str">
        <f>"85607"</f>
        <v>85607</v>
      </c>
      <c r="AA2033" t="str">
        <f>""</f>
        <v/>
      </c>
      <c r="AB2033" t="s">
        <v>821</v>
      </c>
    </row>
    <row r="2034" spans="1:28" x14ac:dyDescent="0.25">
      <c r="A2034">
        <v>81099</v>
      </c>
      <c r="B2034" t="str">
        <f>"078621000"</f>
        <v>078621000</v>
      </c>
      <c r="C2034" t="s">
        <v>7169</v>
      </c>
      <c r="D2034">
        <v>0</v>
      </c>
      <c r="E2034" t="str">
        <f>""</f>
        <v/>
      </c>
      <c r="G2034" t="s">
        <v>29</v>
      </c>
      <c r="H2034" t="s">
        <v>3624</v>
      </c>
      <c r="I2034" t="s">
        <v>7170</v>
      </c>
      <c r="J2034" t="s">
        <v>32</v>
      </c>
      <c r="K2034" t="str">
        <f>"6028962900"</f>
        <v>6028962900</v>
      </c>
      <c r="L2034" t="str">
        <f>"2124"</f>
        <v>2124</v>
      </c>
      <c r="M2034" t="str">
        <f>"6024679540"</f>
        <v>6024679540</v>
      </c>
      <c r="N2034" t="str">
        <f>""</f>
        <v/>
      </c>
      <c r="O2034" t="s">
        <v>7171</v>
      </c>
      <c r="P2034" t="s">
        <v>7172</v>
      </c>
      <c r="R2034" t="s">
        <v>1173</v>
      </c>
      <c r="S2034" t="s">
        <v>36</v>
      </c>
      <c r="T2034" t="str">
        <f>"85306"</f>
        <v>85306</v>
      </c>
      <c r="U2034" t="str">
        <f>""</f>
        <v/>
      </c>
      <c r="V2034" t="s">
        <v>7172</v>
      </c>
      <c r="X2034" t="s">
        <v>1173</v>
      </c>
      <c r="Y2034" t="s">
        <v>36</v>
      </c>
      <c r="Z2034" t="str">
        <f>"85306"</f>
        <v>85306</v>
      </c>
      <c r="AA2034" t="str">
        <f>""</f>
        <v/>
      </c>
      <c r="AB2034" t="s">
        <v>1466</v>
      </c>
    </row>
    <row r="2035" spans="1:28" x14ac:dyDescent="0.25">
      <c r="A2035">
        <v>81099</v>
      </c>
      <c r="B2035" t="str">
        <f>"078621000"</f>
        <v>078621000</v>
      </c>
      <c r="C2035" t="s">
        <v>7169</v>
      </c>
      <c r="D2035">
        <v>78950</v>
      </c>
      <c r="E2035" t="str">
        <f>"078621101"</f>
        <v>078621101</v>
      </c>
      <c r="F2035" t="s">
        <v>7173</v>
      </c>
      <c r="G2035" t="s">
        <v>42</v>
      </c>
      <c r="H2035" t="s">
        <v>3624</v>
      </c>
      <c r="I2035" t="s">
        <v>7170</v>
      </c>
      <c r="J2035" t="s">
        <v>32</v>
      </c>
      <c r="K2035" t="str">
        <f>"6028962900"</f>
        <v>6028962900</v>
      </c>
      <c r="L2035" t="str">
        <f>"2124"</f>
        <v>2124</v>
      </c>
      <c r="M2035" t="str">
        <f>"6024679540"</f>
        <v>6024679540</v>
      </c>
      <c r="N2035" t="str">
        <f>""</f>
        <v/>
      </c>
      <c r="O2035" t="s">
        <v>7171</v>
      </c>
      <c r="P2035" t="s">
        <v>7174</v>
      </c>
      <c r="R2035" t="s">
        <v>1173</v>
      </c>
      <c r="S2035" t="s">
        <v>36</v>
      </c>
      <c r="T2035" t="str">
        <f>"85306"</f>
        <v>85306</v>
      </c>
      <c r="U2035" t="str">
        <f>""</f>
        <v/>
      </c>
      <c r="V2035" t="s">
        <v>7174</v>
      </c>
      <c r="X2035" t="s">
        <v>1173</v>
      </c>
      <c r="Y2035" t="s">
        <v>36</v>
      </c>
      <c r="Z2035" t="str">
        <f>"85306"</f>
        <v>85306</v>
      </c>
      <c r="AA2035" t="str">
        <f>""</f>
        <v/>
      </c>
      <c r="AB2035" t="s">
        <v>1466</v>
      </c>
    </row>
    <row r="2036" spans="1:28" x14ac:dyDescent="0.25">
      <c r="A2036">
        <v>81099</v>
      </c>
      <c r="B2036" t="str">
        <f>"078621000"</f>
        <v>078621000</v>
      </c>
      <c r="C2036" t="s">
        <v>7169</v>
      </c>
      <c r="D2036">
        <v>92249</v>
      </c>
      <c r="E2036" t="str">
        <f>"078621102"</f>
        <v>078621102</v>
      </c>
      <c r="F2036" t="s">
        <v>7175</v>
      </c>
      <c r="G2036" t="s">
        <v>42</v>
      </c>
      <c r="H2036" t="s">
        <v>3624</v>
      </c>
      <c r="I2036" t="s">
        <v>7170</v>
      </c>
      <c r="J2036" t="s">
        <v>32</v>
      </c>
      <c r="K2036" t="str">
        <f>"6028962900"</f>
        <v>6028962900</v>
      </c>
      <c r="L2036" t="str">
        <f>"2124"</f>
        <v>2124</v>
      </c>
      <c r="M2036" t="str">
        <f>"6025474576"</f>
        <v>6025474576</v>
      </c>
      <c r="N2036" t="str">
        <f>""</f>
        <v/>
      </c>
      <c r="O2036" t="s">
        <v>7171</v>
      </c>
      <c r="P2036" t="s">
        <v>7176</v>
      </c>
      <c r="R2036" t="s">
        <v>1173</v>
      </c>
      <c r="S2036" t="s">
        <v>36</v>
      </c>
      <c r="T2036" t="str">
        <f>"85308"</f>
        <v>85308</v>
      </c>
      <c r="U2036" t="str">
        <f>""</f>
        <v/>
      </c>
      <c r="V2036" t="s">
        <v>7176</v>
      </c>
      <c r="X2036" t="s">
        <v>1173</v>
      </c>
      <c r="Y2036" t="s">
        <v>36</v>
      </c>
      <c r="Z2036" t="str">
        <f>"85308"</f>
        <v>85308</v>
      </c>
      <c r="AA2036" t="str">
        <f>""</f>
        <v/>
      </c>
      <c r="AB2036" t="s">
        <v>1466</v>
      </c>
    </row>
    <row r="2037" spans="1:28" x14ac:dyDescent="0.25">
      <c r="A2037">
        <v>81174</v>
      </c>
      <c r="B2037" t="str">
        <f>"078743000"</f>
        <v>078743000</v>
      </c>
      <c r="C2037" t="s">
        <v>7177</v>
      </c>
      <c r="D2037">
        <v>0</v>
      </c>
      <c r="E2037" t="str">
        <f>""</f>
        <v/>
      </c>
      <c r="G2037" t="s">
        <v>29</v>
      </c>
      <c r="H2037" t="s">
        <v>7178</v>
      </c>
      <c r="I2037" t="s">
        <v>7179</v>
      </c>
      <c r="J2037" t="s">
        <v>307</v>
      </c>
      <c r="K2037" t="str">
        <f>"6022857998"</f>
        <v>6022857998</v>
      </c>
      <c r="L2037" t="str">
        <f>""</f>
        <v/>
      </c>
      <c r="M2037" t="str">
        <f>"6022857697"</f>
        <v>6022857697</v>
      </c>
      <c r="N2037" t="str">
        <f>""</f>
        <v/>
      </c>
      <c r="O2037" t="s">
        <v>7180</v>
      </c>
      <c r="P2037" t="s">
        <v>7181</v>
      </c>
      <c r="R2037" t="s">
        <v>964</v>
      </c>
      <c r="S2037" t="s">
        <v>36</v>
      </c>
      <c r="T2037" t="str">
        <f>"85013"</f>
        <v>85013</v>
      </c>
      <c r="U2037" t="str">
        <f>""</f>
        <v/>
      </c>
      <c r="V2037" t="s">
        <v>7181</v>
      </c>
      <c r="X2037" t="s">
        <v>964</v>
      </c>
      <c r="Y2037" t="s">
        <v>36</v>
      </c>
      <c r="Z2037" t="str">
        <f>"85013"</f>
        <v>85013</v>
      </c>
      <c r="AA2037" t="str">
        <f>""</f>
        <v/>
      </c>
      <c r="AB2037" t="s">
        <v>282</v>
      </c>
    </row>
    <row r="2038" spans="1:28" x14ac:dyDescent="0.25">
      <c r="A2038">
        <v>81174</v>
      </c>
      <c r="B2038" t="str">
        <f>"078743000"</f>
        <v>078743000</v>
      </c>
      <c r="C2038" t="s">
        <v>7177</v>
      </c>
      <c r="D2038">
        <v>81175</v>
      </c>
      <c r="E2038" t="str">
        <f>"078743201"</f>
        <v>078743201</v>
      </c>
      <c r="F2038" t="s">
        <v>7182</v>
      </c>
      <c r="G2038" t="s">
        <v>42</v>
      </c>
      <c r="H2038" t="s">
        <v>1565</v>
      </c>
      <c r="I2038" t="s">
        <v>771</v>
      </c>
      <c r="J2038" t="s">
        <v>307</v>
      </c>
      <c r="K2038" t="str">
        <f>"6022857998"</f>
        <v>6022857998</v>
      </c>
      <c r="L2038" t="str">
        <f>""</f>
        <v/>
      </c>
      <c r="M2038" t="str">
        <f>"6022857697"</f>
        <v>6022857697</v>
      </c>
      <c r="N2038" t="str">
        <f>""</f>
        <v/>
      </c>
      <c r="O2038" t="s">
        <v>7180</v>
      </c>
      <c r="P2038" t="s">
        <v>7183</v>
      </c>
      <c r="R2038" t="s">
        <v>964</v>
      </c>
      <c r="S2038" t="s">
        <v>36</v>
      </c>
      <c r="T2038" t="str">
        <f>"85013"</f>
        <v>85013</v>
      </c>
      <c r="U2038" t="str">
        <f>""</f>
        <v/>
      </c>
      <c r="V2038" t="s">
        <v>7183</v>
      </c>
      <c r="X2038" t="s">
        <v>964</v>
      </c>
      <c r="Y2038" t="s">
        <v>36</v>
      </c>
      <c r="Z2038" t="str">
        <f>"85013"</f>
        <v>85013</v>
      </c>
      <c r="AA2038" t="str">
        <f>""</f>
        <v/>
      </c>
      <c r="AB2038" t="s">
        <v>282</v>
      </c>
    </row>
    <row r="2039" spans="1:28" x14ac:dyDescent="0.25">
      <c r="A2039">
        <v>81228</v>
      </c>
      <c r="B2039" t="str">
        <f>"072032000"</f>
        <v>072032000</v>
      </c>
      <c r="C2039" t="s">
        <v>7184</v>
      </c>
      <c r="D2039">
        <v>0</v>
      </c>
      <c r="E2039" t="str">
        <f>""</f>
        <v/>
      </c>
      <c r="G2039" t="s">
        <v>29</v>
      </c>
      <c r="H2039" t="s">
        <v>5244</v>
      </c>
      <c r="I2039" t="s">
        <v>7185</v>
      </c>
      <c r="J2039" t="s">
        <v>486</v>
      </c>
      <c r="K2039" t="str">
        <f>"6029439058"</f>
        <v>6029439058</v>
      </c>
      <c r="L2039" t="str">
        <f>""</f>
        <v/>
      </c>
      <c r="M2039" t="str">
        <f>""</f>
        <v/>
      </c>
      <c r="N2039" t="str">
        <f>""</f>
        <v/>
      </c>
      <c r="O2039" t="s">
        <v>7186</v>
      </c>
      <c r="P2039" t="s">
        <v>7187</v>
      </c>
      <c r="R2039" t="s">
        <v>964</v>
      </c>
      <c r="S2039" t="s">
        <v>36</v>
      </c>
      <c r="T2039" t="str">
        <f>"85020"</f>
        <v>85020</v>
      </c>
      <c r="U2039" t="str">
        <f>""</f>
        <v/>
      </c>
      <c r="V2039" t="s">
        <v>7187</v>
      </c>
      <c r="X2039" t="s">
        <v>964</v>
      </c>
      <c r="Y2039" t="s">
        <v>36</v>
      </c>
      <c r="Z2039" t="str">
        <f>"85020"</f>
        <v>85020</v>
      </c>
      <c r="AA2039" t="str">
        <f>""</f>
        <v/>
      </c>
      <c r="AB2039" t="s">
        <v>265</v>
      </c>
    </row>
    <row r="2040" spans="1:28" x14ac:dyDescent="0.25">
      <c r="A2040">
        <v>81228</v>
      </c>
      <c r="B2040" t="str">
        <f>"072032000"</f>
        <v>072032000</v>
      </c>
      <c r="C2040" t="s">
        <v>7184</v>
      </c>
      <c r="D2040">
        <v>81229</v>
      </c>
      <c r="E2040" t="str">
        <f>"072032001"</f>
        <v>072032001</v>
      </c>
      <c r="F2040" t="s">
        <v>7184</v>
      </c>
      <c r="G2040" t="s">
        <v>42</v>
      </c>
      <c r="H2040" t="s">
        <v>7188</v>
      </c>
      <c r="I2040" t="s">
        <v>2896</v>
      </c>
      <c r="J2040" t="s">
        <v>7189</v>
      </c>
      <c r="K2040" t="str">
        <f>"6029439058"</f>
        <v>6029439058</v>
      </c>
      <c r="L2040" t="str">
        <f>""</f>
        <v/>
      </c>
      <c r="M2040" t="str">
        <f>"6029433188"</f>
        <v>6029433188</v>
      </c>
      <c r="N2040" t="str">
        <f>""</f>
        <v/>
      </c>
      <c r="O2040" t="s">
        <v>7190</v>
      </c>
      <c r="P2040" t="s">
        <v>7191</v>
      </c>
      <c r="R2040" t="s">
        <v>964</v>
      </c>
      <c r="S2040" t="s">
        <v>36</v>
      </c>
      <c r="T2040" t="str">
        <f>"85020"</f>
        <v>85020</v>
      </c>
      <c r="U2040" t="str">
        <f>""</f>
        <v/>
      </c>
      <c r="V2040" t="s">
        <v>7191</v>
      </c>
      <c r="X2040" t="s">
        <v>964</v>
      </c>
      <c r="Y2040" t="s">
        <v>36</v>
      </c>
      <c r="Z2040" t="str">
        <f>"85020"</f>
        <v>85020</v>
      </c>
      <c r="AA2040" t="str">
        <f>""</f>
        <v/>
      </c>
      <c r="AB2040" t="s">
        <v>265</v>
      </c>
    </row>
    <row r="2041" spans="1:28" x14ac:dyDescent="0.25">
      <c r="A2041">
        <v>85448</v>
      </c>
      <c r="B2041" t="str">
        <f>"108720000"</f>
        <v>108720000</v>
      </c>
      <c r="C2041" t="s">
        <v>7192</v>
      </c>
      <c r="D2041">
        <v>0</v>
      </c>
      <c r="E2041" t="str">
        <f>""</f>
        <v/>
      </c>
      <c r="G2041" t="s">
        <v>29</v>
      </c>
      <c r="H2041" t="s">
        <v>7193</v>
      </c>
      <c r="I2041" t="s">
        <v>7194</v>
      </c>
      <c r="J2041" t="s">
        <v>301</v>
      </c>
      <c r="K2041" t="str">
        <f>"5206237223"</f>
        <v>5206237223</v>
      </c>
      <c r="L2041" t="str">
        <f>"105"</f>
        <v>105</v>
      </c>
      <c r="M2041" t="str">
        <f>""</f>
        <v/>
      </c>
      <c r="N2041" t="str">
        <f>""</f>
        <v/>
      </c>
      <c r="O2041" t="s">
        <v>7195</v>
      </c>
      <c r="P2041" t="s">
        <v>7196</v>
      </c>
      <c r="R2041" t="s">
        <v>4169</v>
      </c>
      <c r="S2041" t="s">
        <v>36</v>
      </c>
      <c r="T2041" t="str">
        <f>"85701"</f>
        <v>85701</v>
      </c>
      <c r="U2041" t="str">
        <f>"1535"</f>
        <v>1535</v>
      </c>
      <c r="V2041" t="s">
        <v>7196</v>
      </c>
      <c r="X2041" t="s">
        <v>4169</v>
      </c>
      <c r="Y2041" t="s">
        <v>36</v>
      </c>
      <c r="Z2041" t="str">
        <f>"85701"</f>
        <v>85701</v>
      </c>
      <c r="AA2041" t="str">
        <f>"1535"</f>
        <v>1535</v>
      </c>
      <c r="AB2041" t="s">
        <v>40</v>
      </c>
    </row>
    <row r="2042" spans="1:28" x14ac:dyDescent="0.25">
      <c r="A2042">
        <v>85448</v>
      </c>
      <c r="B2042" t="str">
        <f>"108720000"</f>
        <v>108720000</v>
      </c>
      <c r="C2042" t="s">
        <v>7192</v>
      </c>
      <c r="D2042">
        <v>85451</v>
      </c>
      <c r="E2042" t="str">
        <f>"108720201"</f>
        <v>108720201</v>
      </c>
      <c r="F2042" t="s">
        <v>7197</v>
      </c>
      <c r="G2042" t="s">
        <v>42</v>
      </c>
      <c r="H2042" t="s">
        <v>7193</v>
      </c>
      <c r="I2042" t="s">
        <v>7198</v>
      </c>
      <c r="J2042" t="s">
        <v>301</v>
      </c>
      <c r="K2042" t="str">
        <f>"5206237223"</f>
        <v>5206237223</v>
      </c>
      <c r="L2042" t="str">
        <f>"105"</f>
        <v>105</v>
      </c>
      <c r="M2042" t="str">
        <f>""</f>
        <v/>
      </c>
      <c r="N2042" t="str">
        <f>""</f>
        <v/>
      </c>
      <c r="O2042" t="s">
        <v>7195</v>
      </c>
      <c r="P2042" t="s">
        <v>7196</v>
      </c>
      <c r="R2042" t="s">
        <v>4169</v>
      </c>
      <c r="S2042" t="s">
        <v>36</v>
      </c>
      <c r="T2042" t="str">
        <f>"85701"</f>
        <v>85701</v>
      </c>
      <c r="U2042" t="str">
        <f>""</f>
        <v/>
      </c>
      <c r="V2042" t="s">
        <v>7196</v>
      </c>
      <c r="X2042" t="s">
        <v>4169</v>
      </c>
      <c r="Y2042" t="s">
        <v>36</v>
      </c>
      <c r="Z2042" t="str">
        <f>"85701"</f>
        <v>85701</v>
      </c>
      <c r="AA2042" t="str">
        <f>""</f>
        <v/>
      </c>
      <c r="AB2042" t="s">
        <v>40</v>
      </c>
    </row>
    <row r="2043" spans="1:28" x14ac:dyDescent="0.25">
      <c r="A2043">
        <v>85448</v>
      </c>
      <c r="B2043" t="str">
        <f>"108720000"</f>
        <v>108720000</v>
      </c>
      <c r="C2043" t="s">
        <v>7192</v>
      </c>
      <c r="D2043">
        <v>87441</v>
      </c>
      <c r="E2043" t="str">
        <f>"108720101"</f>
        <v>108720101</v>
      </c>
      <c r="F2043" t="s">
        <v>7199</v>
      </c>
      <c r="G2043" t="s">
        <v>42</v>
      </c>
      <c r="H2043" t="s">
        <v>7193</v>
      </c>
      <c r="I2043" t="s">
        <v>7194</v>
      </c>
      <c r="J2043" t="s">
        <v>301</v>
      </c>
      <c r="K2043" t="str">
        <f>"5206237223"</f>
        <v>5206237223</v>
      </c>
      <c r="L2043" t="str">
        <f>"105"</f>
        <v>105</v>
      </c>
      <c r="M2043" t="str">
        <f>""</f>
        <v/>
      </c>
      <c r="N2043" t="str">
        <f>""</f>
        <v/>
      </c>
      <c r="O2043" t="s">
        <v>7195</v>
      </c>
      <c r="P2043" t="s">
        <v>7200</v>
      </c>
      <c r="R2043" t="s">
        <v>4169</v>
      </c>
      <c r="S2043" t="s">
        <v>36</v>
      </c>
      <c r="T2043" t="str">
        <f>"85705"</f>
        <v>85705</v>
      </c>
      <c r="U2043" t="str">
        <f>""</f>
        <v/>
      </c>
      <c r="V2043" t="s">
        <v>7200</v>
      </c>
      <c r="X2043" t="s">
        <v>4169</v>
      </c>
      <c r="Y2043" t="s">
        <v>36</v>
      </c>
      <c r="Z2043" t="str">
        <f>"85705"</f>
        <v>85705</v>
      </c>
      <c r="AA2043" t="str">
        <f>""</f>
        <v/>
      </c>
      <c r="AB2043" t="s">
        <v>40</v>
      </c>
    </row>
    <row r="2044" spans="1:28" x14ac:dyDescent="0.25">
      <c r="A2044">
        <v>85448</v>
      </c>
      <c r="B2044" t="str">
        <f>"108720000"</f>
        <v>108720000</v>
      </c>
      <c r="C2044" t="s">
        <v>7192</v>
      </c>
      <c r="D2044">
        <v>92561</v>
      </c>
      <c r="E2044" t="str">
        <f>"108720102"</f>
        <v>108720102</v>
      </c>
      <c r="F2044" t="s">
        <v>7201</v>
      </c>
      <c r="G2044" t="s">
        <v>42</v>
      </c>
      <c r="H2044" t="s">
        <v>7193</v>
      </c>
      <c r="I2044" t="s">
        <v>7198</v>
      </c>
      <c r="J2044" t="s">
        <v>301</v>
      </c>
      <c r="K2044" t="str">
        <f>"5206237223"</f>
        <v>5206237223</v>
      </c>
      <c r="L2044" t="str">
        <f>"105"</f>
        <v>105</v>
      </c>
      <c r="M2044" t="str">
        <f>"5205470680"</f>
        <v>5205470680</v>
      </c>
      <c r="N2044" t="str">
        <f>""</f>
        <v/>
      </c>
      <c r="O2044" t="s">
        <v>7195</v>
      </c>
      <c r="P2044" t="s">
        <v>7202</v>
      </c>
      <c r="R2044" t="s">
        <v>4169</v>
      </c>
      <c r="S2044" t="s">
        <v>36</v>
      </c>
      <c r="T2044" t="str">
        <f>"85701"</f>
        <v>85701</v>
      </c>
      <c r="U2044" t="str">
        <f>""</f>
        <v/>
      </c>
      <c r="V2044" t="s">
        <v>7202</v>
      </c>
      <c r="X2044" t="s">
        <v>4169</v>
      </c>
      <c r="Y2044" t="s">
        <v>36</v>
      </c>
      <c r="Z2044" t="str">
        <f>"85701"</f>
        <v>85701</v>
      </c>
      <c r="AA2044" t="str">
        <f>""</f>
        <v/>
      </c>
      <c r="AB2044" t="s">
        <v>40</v>
      </c>
    </row>
    <row r="2045" spans="1:28" x14ac:dyDescent="0.25">
      <c r="A2045">
        <v>85454</v>
      </c>
      <c r="B2045" t="str">
        <f>"108719000"</f>
        <v>108719000</v>
      </c>
      <c r="C2045" t="s">
        <v>7203</v>
      </c>
      <c r="D2045">
        <v>0</v>
      </c>
      <c r="E2045" t="str">
        <f>""</f>
        <v/>
      </c>
      <c r="G2045" t="s">
        <v>29</v>
      </c>
      <c r="H2045" t="s">
        <v>4836</v>
      </c>
      <c r="I2045" t="s">
        <v>7204</v>
      </c>
      <c r="J2045" t="s">
        <v>6805</v>
      </c>
      <c r="K2045" t="str">
        <f>"5202937555"</f>
        <v>5202937555</v>
      </c>
      <c r="L2045" t="str">
        <f>""</f>
        <v/>
      </c>
      <c r="M2045" t="str">
        <f>"5202937020"</f>
        <v>5202937020</v>
      </c>
      <c r="N2045" t="str">
        <f>""</f>
        <v/>
      </c>
      <c r="O2045" t="s">
        <v>7205</v>
      </c>
      <c r="P2045" t="s">
        <v>7206</v>
      </c>
      <c r="R2045" t="s">
        <v>4169</v>
      </c>
      <c r="S2045" t="s">
        <v>36</v>
      </c>
      <c r="T2045" t="str">
        <f>"85719"</f>
        <v>85719</v>
      </c>
      <c r="U2045" t="str">
        <f>""</f>
        <v/>
      </c>
      <c r="V2045" t="s">
        <v>7207</v>
      </c>
      <c r="X2045" t="s">
        <v>4169</v>
      </c>
      <c r="Y2045" t="s">
        <v>36</v>
      </c>
      <c r="Z2045" t="str">
        <f>"85719"</f>
        <v>85719</v>
      </c>
      <c r="AA2045" t="str">
        <f>""</f>
        <v/>
      </c>
      <c r="AB2045" t="s">
        <v>217</v>
      </c>
    </row>
    <row r="2046" spans="1:28" x14ac:dyDescent="0.25">
      <c r="A2046">
        <v>85454</v>
      </c>
      <c r="B2046" t="str">
        <f>"108719000"</f>
        <v>108719000</v>
      </c>
      <c r="C2046" t="s">
        <v>7203</v>
      </c>
      <c r="D2046">
        <v>85455</v>
      </c>
      <c r="E2046" t="str">
        <f>"108719101"</f>
        <v>108719101</v>
      </c>
      <c r="F2046" t="s">
        <v>7208</v>
      </c>
      <c r="G2046" t="s">
        <v>42</v>
      </c>
      <c r="H2046" t="s">
        <v>260</v>
      </c>
      <c r="I2046" t="s">
        <v>3547</v>
      </c>
      <c r="J2046" t="s">
        <v>7209</v>
      </c>
      <c r="K2046" t="str">
        <f>"5202937555"</f>
        <v>5202937555</v>
      </c>
      <c r="L2046" t="str">
        <f>""</f>
        <v/>
      </c>
      <c r="M2046" t="str">
        <f>"5202937020"</f>
        <v>5202937020</v>
      </c>
      <c r="N2046" t="str">
        <f>""</f>
        <v/>
      </c>
      <c r="O2046" t="s">
        <v>7210</v>
      </c>
      <c r="P2046" t="s">
        <v>7207</v>
      </c>
      <c r="R2046" t="s">
        <v>4169</v>
      </c>
      <c r="S2046" t="s">
        <v>36</v>
      </c>
      <c r="T2046" t="str">
        <f>"85719"</f>
        <v>85719</v>
      </c>
      <c r="U2046" t="str">
        <f>""</f>
        <v/>
      </c>
      <c r="V2046" t="s">
        <v>7207</v>
      </c>
      <c r="X2046" t="s">
        <v>4169</v>
      </c>
      <c r="Y2046" t="s">
        <v>36</v>
      </c>
      <c r="Z2046" t="str">
        <f>"85719"</f>
        <v>85719</v>
      </c>
      <c r="AA2046" t="str">
        <f>""</f>
        <v/>
      </c>
      <c r="AB2046" t="s">
        <v>217</v>
      </c>
    </row>
    <row r="2047" spans="1:28" x14ac:dyDescent="0.25">
      <c r="A2047">
        <v>85749</v>
      </c>
      <c r="B2047" t="str">
        <f>"078991000"</f>
        <v>078991000</v>
      </c>
      <c r="C2047" t="s">
        <v>7211</v>
      </c>
      <c r="D2047">
        <v>0</v>
      </c>
      <c r="E2047" t="str">
        <f>""</f>
        <v/>
      </c>
      <c r="G2047" t="s">
        <v>29</v>
      </c>
      <c r="H2047" t="s">
        <v>3257</v>
      </c>
      <c r="I2047" t="s">
        <v>3442</v>
      </c>
      <c r="J2047" t="s">
        <v>307</v>
      </c>
      <c r="K2047" t="str">
        <f>"6235515083"</f>
        <v>6235515083</v>
      </c>
      <c r="L2047" t="str">
        <f>""</f>
        <v/>
      </c>
      <c r="M2047" t="str">
        <f>"6235515679"</f>
        <v>6235515679</v>
      </c>
      <c r="N2047" t="str">
        <f>""</f>
        <v/>
      </c>
      <c r="O2047" t="s">
        <v>7212</v>
      </c>
      <c r="P2047" t="s">
        <v>7213</v>
      </c>
      <c r="R2047" t="s">
        <v>2096</v>
      </c>
      <c r="S2047" t="s">
        <v>36</v>
      </c>
      <c r="T2047" t="str">
        <f>"85086"</f>
        <v>85086</v>
      </c>
      <c r="U2047" t="str">
        <f>""</f>
        <v/>
      </c>
      <c r="V2047" t="s">
        <v>7213</v>
      </c>
      <c r="X2047" t="s">
        <v>2096</v>
      </c>
      <c r="Y2047" t="s">
        <v>36</v>
      </c>
      <c r="Z2047" t="str">
        <f>"85086"</f>
        <v>85086</v>
      </c>
      <c r="AA2047" t="str">
        <f>""</f>
        <v/>
      </c>
      <c r="AB2047" t="s">
        <v>821</v>
      </c>
    </row>
    <row r="2048" spans="1:28" x14ac:dyDescent="0.25">
      <c r="A2048">
        <v>85749</v>
      </c>
      <c r="B2048" t="str">
        <f>"078991000"</f>
        <v>078991000</v>
      </c>
      <c r="C2048" t="s">
        <v>7211</v>
      </c>
      <c r="D2048">
        <v>85750</v>
      </c>
      <c r="E2048" t="str">
        <f>"078991101"</f>
        <v>078991101</v>
      </c>
      <c r="F2048" t="s">
        <v>7214</v>
      </c>
      <c r="G2048" t="s">
        <v>42</v>
      </c>
      <c r="H2048" t="s">
        <v>3257</v>
      </c>
      <c r="I2048" t="s">
        <v>3442</v>
      </c>
      <c r="J2048" t="s">
        <v>6345</v>
      </c>
      <c r="K2048" t="str">
        <f>"6235515083"</f>
        <v>6235515083</v>
      </c>
      <c r="L2048" t="str">
        <f>""</f>
        <v/>
      </c>
      <c r="M2048" t="str">
        <f>"6235515679"</f>
        <v>6235515679</v>
      </c>
      <c r="N2048" t="str">
        <f>""</f>
        <v/>
      </c>
      <c r="O2048" t="s">
        <v>7212</v>
      </c>
      <c r="P2048" t="s">
        <v>7213</v>
      </c>
      <c r="R2048" t="s">
        <v>2096</v>
      </c>
      <c r="S2048" t="s">
        <v>36</v>
      </c>
      <c r="T2048" t="str">
        <f>"85086"</f>
        <v>85086</v>
      </c>
      <c r="U2048" t="str">
        <f>""</f>
        <v/>
      </c>
      <c r="V2048" t="s">
        <v>7213</v>
      </c>
      <c r="X2048" t="s">
        <v>2096</v>
      </c>
      <c r="Y2048" t="s">
        <v>36</v>
      </c>
      <c r="Z2048" t="str">
        <f>"85086"</f>
        <v>85086</v>
      </c>
      <c r="AA2048" t="str">
        <f>""</f>
        <v/>
      </c>
      <c r="AB2048" t="s">
        <v>821</v>
      </c>
    </row>
    <row r="2049" spans="1:28" x14ac:dyDescent="0.25">
      <c r="A2049">
        <v>85892</v>
      </c>
      <c r="B2049" t="str">
        <f t="shared" ref="B2049:B2059" si="306">"102707000"</f>
        <v>102707000</v>
      </c>
      <c r="C2049" t="s">
        <v>7215</v>
      </c>
      <c r="D2049">
        <v>0</v>
      </c>
      <c r="E2049" t="str">
        <f>""</f>
        <v/>
      </c>
      <c r="G2049" t="s">
        <v>29</v>
      </c>
      <c r="H2049" t="s">
        <v>180</v>
      </c>
      <c r="I2049" t="s">
        <v>7216</v>
      </c>
      <c r="J2049" t="s">
        <v>7217</v>
      </c>
      <c r="K2049" t="str">
        <f t="shared" ref="K2049:K2059" si="307">"5203928379"</f>
        <v>5203928379</v>
      </c>
      <c r="L2049" t="str">
        <f>""</f>
        <v/>
      </c>
      <c r="M2049" t="str">
        <f t="shared" ref="M2049:M2059" si="308">"5205445155"</f>
        <v>5205445155</v>
      </c>
      <c r="N2049" t="str">
        <f>""</f>
        <v/>
      </c>
      <c r="O2049" t="s">
        <v>7218</v>
      </c>
      <c r="P2049" t="s">
        <v>7219</v>
      </c>
      <c r="R2049" t="s">
        <v>4169</v>
      </c>
      <c r="S2049" t="s">
        <v>36</v>
      </c>
      <c r="T2049" t="str">
        <f t="shared" ref="T2049:T2059" si="309">"85705"</f>
        <v>85705</v>
      </c>
      <c r="U2049" t="str">
        <f>""</f>
        <v/>
      </c>
      <c r="V2049" t="s">
        <v>7219</v>
      </c>
      <c r="X2049" t="s">
        <v>4169</v>
      </c>
      <c r="Y2049" t="s">
        <v>36</v>
      </c>
      <c r="Z2049" t="str">
        <f>"85705"</f>
        <v>85705</v>
      </c>
      <c r="AA2049" t="str">
        <f>""</f>
        <v/>
      </c>
      <c r="AB2049" t="s">
        <v>3851</v>
      </c>
    </row>
    <row r="2050" spans="1:28" x14ac:dyDescent="0.25">
      <c r="A2050">
        <v>85892</v>
      </c>
      <c r="B2050" t="str">
        <f t="shared" si="306"/>
        <v>102707000</v>
      </c>
      <c r="C2050" t="s">
        <v>7215</v>
      </c>
      <c r="D2050">
        <v>85895</v>
      </c>
      <c r="E2050" t="str">
        <f>"102707004"</f>
        <v>102707004</v>
      </c>
      <c r="F2050" t="s">
        <v>7220</v>
      </c>
      <c r="G2050" t="s">
        <v>42</v>
      </c>
      <c r="H2050" t="s">
        <v>180</v>
      </c>
      <c r="I2050" t="s">
        <v>7216</v>
      </c>
      <c r="J2050" t="s">
        <v>7217</v>
      </c>
      <c r="K2050" t="str">
        <f t="shared" si="307"/>
        <v>5203928379</v>
      </c>
      <c r="L2050" t="str">
        <f>""</f>
        <v/>
      </c>
      <c r="M2050" t="str">
        <f t="shared" si="308"/>
        <v>5205445155</v>
      </c>
      <c r="N2050" t="str">
        <f>""</f>
        <v/>
      </c>
      <c r="O2050" t="s">
        <v>7218</v>
      </c>
      <c r="P2050" t="s">
        <v>7221</v>
      </c>
      <c r="R2050" t="s">
        <v>4169</v>
      </c>
      <c r="S2050" t="s">
        <v>36</v>
      </c>
      <c r="T2050" t="str">
        <f t="shared" si="309"/>
        <v>85705</v>
      </c>
      <c r="U2050" t="str">
        <f>""</f>
        <v/>
      </c>
      <c r="V2050" t="s">
        <v>7222</v>
      </c>
      <c r="X2050" t="s">
        <v>4169</v>
      </c>
      <c r="Y2050" t="s">
        <v>36</v>
      </c>
      <c r="Z2050" t="str">
        <f>"85741"</f>
        <v>85741</v>
      </c>
      <c r="AA2050" t="str">
        <f>""</f>
        <v/>
      </c>
      <c r="AB2050" t="s">
        <v>3851</v>
      </c>
    </row>
    <row r="2051" spans="1:28" x14ac:dyDescent="0.25">
      <c r="A2051">
        <v>85892</v>
      </c>
      <c r="B2051" t="str">
        <f t="shared" si="306"/>
        <v>102707000</v>
      </c>
      <c r="C2051" t="s">
        <v>7215</v>
      </c>
      <c r="D2051">
        <v>85896</v>
      </c>
      <c r="E2051" t="str">
        <f>"102707005"</f>
        <v>102707005</v>
      </c>
      <c r="F2051" t="s">
        <v>7223</v>
      </c>
      <c r="G2051" t="s">
        <v>42</v>
      </c>
      <c r="H2051" t="s">
        <v>180</v>
      </c>
      <c r="I2051" t="s">
        <v>7216</v>
      </c>
      <c r="J2051" t="s">
        <v>7217</v>
      </c>
      <c r="K2051" t="str">
        <f t="shared" si="307"/>
        <v>5203928379</v>
      </c>
      <c r="L2051" t="str">
        <f>""</f>
        <v/>
      </c>
      <c r="M2051" t="str">
        <f t="shared" si="308"/>
        <v>5205445155</v>
      </c>
      <c r="N2051" t="str">
        <f>""</f>
        <v/>
      </c>
      <c r="O2051" t="s">
        <v>7218</v>
      </c>
      <c r="P2051" t="s">
        <v>7215</v>
      </c>
      <c r="Q2051" t="s">
        <v>7219</v>
      </c>
      <c r="R2051" t="s">
        <v>4169</v>
      </c>
      <c r="S2051" t="s">
        <v>36</v>
      </c>
      <c r="T2051" t="str">
        <f t="shared" si="309"/>
        <v>85705</v>
      </c>
      <c r="U2051" t="str">
        <f>""</f>
        <v/>
      </c>
      <c r="V2051" t="s">
        <v>7224</v>
      </c>
      <c r="X2051" t="s">
        <v>4169</v>
      </c>
      <c r="Y2051" t="s">
        <v>36</v>
      </c>
      <c r="Z2051" t="str">
        <f>"85755"</f>
        <v>85755</v>
      </c>
      <c r="AA2051" t="str">
        <f>""</f>
        <v/>
      </c>
      <c r="AB2051" t="s">
        <v>3851</v>
      </c>
    </row>
    <row r="2052" spans="1:28" x14ac:dyDescent="0.25">
      <c r="A2052">
        <v>85892</v>
      </c>
      <c r="B2052" t="str">
        <f t="shared" si="306"/>
        <v>102707000</v>
      </c>
      <c r="C2052" t="s">
        <v>7215</v>
      </c>
      <c r="D2052">
        <v>85897</v>
      </c>
      <c r="E2052" t="str">
        <f>"102707006"</f>
        <v>102707006</v>
      </c>
      <c r="F2052" t="s">
        <v>7225</v>
      </c>
      <c r="G2052" t="s">
        <v>42</v>
      </c>
      <c r="H2052" t="s">
        <v>180</v>
      </c>
      <c r="I2052" t="s">
        <v>7216</v>
      </c>
      <c r="J2052" t="s">
        <v>7217</v>
      </c>
      <c r="K2052" t="str">
        <f t="shared" si="307"/>
        <v>5203928379</v>
      </c>
      <c r="L2052" t="str">
        <f>""</f>
        <v/>
      </c>
      <c r="M2052" t="str">
        <f t="shared" si="308"/>
        <v>5205445155</v>
      </c>
      <c r="N2052" t="str">
        <f>""</f>
        <v/>
      </c>
      <c r="O2052" t="s">
        <v>7218</v>
      </c>
      <c r="P2052" t="s">
        <v>7221</v>
      </c>
      <c r="R2052" t="s">
        <v>4169</v>
      </c>
      <c r="S2052" t="s">
        <v>36</v>
      </c>
      <c r="T2052" t="str">
        <f t="shared" si="309"/>
        <v>85705</v>
      </c>
      <c r="U2052" t="str">
        <f>""</f>
        <v/>
      </c>
      <c r="V2052" t="s">
        <v>7226</v>
      </c>
      <c r="X2052" t="s">
        <v>4169</v>
      </c>
      <c r="Y2052" t="s">
        <v>36</v>
      </c>
      <c r="Z2052" t="str">
        <f>"85703"</f>
        <v>85703</v>
      </c>
      <c r="AA2052" t="str">
        <f>""</f>
        <v/>
      </c>
      <c r="AB2052" t="s">
        <v>3851</v>
      </c>
    </row>
    <row r="2053" spans="1:28" x14ac:dyDescent="0.25">
      <c r="A2053">
        <v>85892</v>
      </c>
      <c r="B2053" t="str">
        <f t="shared" si="306"/>
        <v>102707000</v>
      </c>
      <c r="C2053" t="s">
        <v>7215</v>
      </c>
      <c r="D2053">
        <v>85898</v>
      </c>
      <c r="E2053" t="str">
        <f>"102707007"</f>
        <v>102707007</v>
      </c>
      <c r="F2053" t="s">
        <v>7227</v>
      </c>
      <c r="G2053" t="s">
        <v>42</v>
      </c>
      <c r="H2053" t="s">
        <v>180</v>
      </c>
      <c r="I2053" t="s">
        <v>7216</v>
      </c>
      <c r="J2053" t="s">
        <v>7217</v>
      </c>
      <c r="K2053" t="str">
        <f t="shared" si="307"/>
        <v>5203928379</v>
      </c>
      <c r="L2053" t="str">
        <f>""</f>
        <v/>
      </c>
      <c r="M2053" t="str">
        <f t="shared" si="308"/>
        <v>5205445155</v>
      </c>
      <c r="N2053" t="str">
        <f>""</f>
        <v/>
      </c>
      <c r="O2053" t="s">
        <v>7218</v>
      </c>
      <c r="P2053" t="s">
        <v>7221</v>
      </c>
      <c r="R2053" t="s">
        <v>4169</v>
      </c>
      <c r="S2053" t="s">
        <v>36</v>
      </c>
      <c r="T2053" t="str">
        <f t="shared" si="309"/>
        <v>85705</v>
      </c>
      <c r="U2053" t="str">
        <f>""</f>
        <v/>
      </c>
      <c r="V2053" t="s">
        <v>7228</v>
      </c>
      <c r="X2053" t="s">
        <v>4169</v>
      </c>
      <c r="Y2053" t="s">
        <v>36</v>
      </c>
      <c r="Z2053" t="str">
        <f>"85742"</f>
        <v>85742</v>
      </c>
      <c r="AA2053" t="str">
        <f>""</f>
        <v/>
      </c>
      <c r="AB2053" t="s">
        <v>3851</v>
      </c>
    </row>
    <row r="2054" spans="1:28" x14ac:dyDescent="0.25">
      <c r="A2054">
        <v>85892</v>
      </c>
      <c r="B2054" t="str">
        <f t="shared" si="306"/>
        <v>102707000</v>
      </c>
      <c r="C2054" t="s">
        <v>7215</v>
      </c>
      <c r="D2054">
        <v>85901</v>
      </c>
      <c r="E2054" t="str">
        <f>"102707010"</f>
        <v>102707010</v>
      </c>
      <c r="F2054" t="s">
        <v>7229</v>
      </c>
      <c r="G2054" t="s">
        <v>42</v>
      </c>
      <c r="H2054" t="s">
        <v>180</v>
      </c>
      <c r="I2054" t="s">
        <v>7216</v>
      </c>
      <c r="J2054" t="s">
        <v>7217</v>
      </c>
      <c r="K2054" t="str">
        <f t="shared" si="307"/>
        <v>5203928379</v>
      </c>
      <c r="L2054" t="str">
        <f>""</f>
        <v/>
      </c>
      <c r="M2054" t="str">
        <f t="shared" si="308"/>
        <v>5205445155</v>
      </c>
      <c r="N2054" t="str">
        <f>""</f>
        <v/>
      </c>
      <c r="O2054" t="s">
        <v>7218</v>
      </c>
      <c r="P2054" t="s">
        <v>7221</v>
      </c>
      <c r="R2054" t="s">
        <v>4169</v>
      </c>
      <c r="S2054" t="s">
        <v>36</v>
      </c>
      <c r="T2054" t="str">
        <f t="shared" si="309"/>
        <v>85705</v>
      </c>
      <c r="U2054" t="str">
        <f>""</f>
        <v/>
      </c>
      <c r="V2054" t="s">
        <v>7230</v>
      </c>
      <c r="X2054" t="s">
        <v>4169</v>
      </c>
      <c r="Y2054" t="s">
        <v>36</v>
      </c>
      <c r="Z2054" t="str">
        <f>"85755"</f>
        <v>85755</v>
      </c>
      <c r="AA2054" t="str">
        <f>""</f>
        <v/>
      </c>
      <c r="AB2054" t="s">
        <v>3851</v>
      </c>
    </row>
    <row r="2055" spans="1:28" x14ac:dyDescent="0.25">
      <c r="A2055">
        <v>85892</v>
      </c>
      <c r="B2055" t="str">
        <f t="shared" si="306"/>
        <v>102707000</v>
      </c>
      <c r="C2055" t="s">
        <v>7215</v>
      </c>
      <c r="D2055">
        <v>85902</v>
      </c>
      <c r="E2055" t="str">
        <f>"102707011"</f>
        <v>102707011</v>
      </c>
      <c r="F2055" t="s">
        <v>7231</v>
      </c>
      <c r="G2055" t="s">
        <v>42</v>
      </c>
      <c r="H2055" t="s">
        <v>180</v>
      </c>
      <c r="I2055" t="s">
        <v>7216</v>
      </c>
      <c r="J2055" t="s">
        <v>7217</v>
      </c>
      <c r="K2055" t="str">
        <f t="shared" si="307"/>
        <v>5203928379</v>
      </c>
      <c r="L2055" t="str">
        <f>""</f>
        <v/>
      </c>
      <c r="M2055" t="str">
        <f t="shared" si="308"/>
        <v>5205445155</v>
      </c>
      <c r="N2055" t="str">
        <f>""</f>
        <v/>
      </c>
      <c r="O2055" t="s">
        <v>7218</v>
      </c>
      <c r="P2055" t="s">
        <v>7221</v>
      </c>
      <c r="R2055" t="s">
        <v>4169</v>
      </c>
      <c r="S2055" t="s">
        <v>36</v>
      </c>
      <c r="T2055" t="str">
        <f t="shared" si="309"/>
        <v>85705</v>
      </c>
      <c r="U2055" t="str">
        <f>""</f>
        <v/>
      </c>
      <c r="V2055" t="s">
        <v>7232</v>
      </c>
      <c r="X2055" t="s">
        <v>4169</v>
      </c>
      <c r="Y2055" t="s">
        <v>36</v>
      </c>
      <c r="Z2055" t="str">
        <f>"85755"</f>
        <v>85755</v>
      </c>
      <c r="AA2055" t="str">
        <f>""</f>
        <v/>
      </c>
      <c r="AB2055" t="s">
        <v>3851</v>
      </c>
    </row>
    <row r="2056" spans="1:28" x14ac:dyDescent="0.25">
      <c r="A2056">
        <v>85892</v>
      </c>
      <c r="B2056" t="str">
        <f t="shared" si="306"/>
        <v>102707000</v>
      </c>
      <c r="C2056" t="s">
        <v>7215</v>
      </c>
      <c r="D2056">
        <v>87531</v>
      </c>
      <c r="E2056" t="str">
        <f>"102707013"</f>
        <v>102707013</v>
      </c>
      <c r="F2056" t="s">
        <v>7233</v>
      </c>
      <c r="G2056" t="s">
        <v>42</v>
      </c>
      <c r="H2056" t="s">
        <v>180</v>
      </c>
      <c r="I2056" t="s">
        <v>7216</v>
      </c>
      <c r="J2056" t="s">
        <v>7217</v>
      </c>
      <c r="K2056" t="str">
        <f t="shared" si="307"/>
        <v>5203928379</v>
      </c>
      <c r="L2056" t="str">
        <f>"110"</f>
        <v>110</v>
      </c>
      <c r="M2056" t="str">
        <f t="shared" si="308"/>
        <v>5205445155</v>
      </c>
      <c r="N2056" t="str">
        <f>""</f>
        <v/>
      </c>
      <c r="O2056" t="s">
        <v>7218</v>
      </c>
      <c r="P2056" t="s">
        <v>7219</v>
      </c>
      <c r="R2056" t="s">
        <v>4169</v>
      </c>
      <c r="S2056" t="s">
        <v>36</v>
      </c>
      <c r="T2056" t="str">
        <f t="shared" si="309"/>
        <v>85705</v>
      </c>
      <c r="U2056" t="str">
        <f>""</f>
        <v/>
      </c>
      <c r="V2056" t="s">
        <v>7234</v>
      </c>
      <c r="X2056" t="s">
        <v>4169</v>
      </c>
      <c r="Y2056" t="s">
        <v>36</v>
      </c>
      <c r="Z2056" t="str">
        <f>"85704"</f>
        <v>85704</v>
      </c>
      <c r="AA2056" t="str">
        <f>""</f>
        <v/>
      </c>
      <c r="AB2056" t="s">
        <v>3851</v>
      </c>
    </row>
    <row r="2057" spans="1:28" x14ac:dyDescent="0.25">
      <c r="A2057">
        <v>85892</v>
      </c>
      <c r="B2057" t="str">
        <f t="shared" si="306"/>
        <v>102707000</v>
      </c>
      <c r="C2057" t="s">
        <v>7215</v>
      </c>
      <c r="D2057">
        <v>91247</v>
      </c>
      <c r="E2057" t="str">
        <f>"102707014"</f>
        <v>102707014</v>
      </c>
      <c r="F2057" t="s">
        <v>7235</v>
      </c>
      <c r="G2057" t="s">
        <v>42</v>
      </c>
      <c r="H2057" t="s">
        <v>180</v>
      </c>
      <c r="I2057" t="s">
        <v>7216</v>
      </c>
      <c r="J2057" t="s">
        <v>7217</v>
      </c>
      <c r="K2057" t="str">
        <f t="shared" si="307"/>
        <v>5203928379</v>
      </c>
      <c r="L2057" t="str">
        <f>""</f>
        <v/>
      </c>
      <c r="M2057" t="str">
        <f t="shared" si="308"/>
        <v>5205445155</v>
      </c>
      <c r="N2057" t="str">
        <f>""</f>
        <v/>
      </c>
      <c r="O2057" t="s">
        <v>7218</v>
      </c>
      <c r="P2057" t="s">
        <v>7219</v>
      </c>
      <c r="R2057" t="s">
        <v>4169</v>
      </c>
      <c r="S2057" t="s">
        <v>36</v>
      </c>
      <c r="T2057" t="str">
        <f t="shared" si="309"/>
        <v>85705</v>
      </c>
      <c r="U2057" t="str">
        <f>""</f>
        <v/>
      </c>
      <c r="V2057" t="s">
        <v>7236</v>
      </c>
      <c r="X2057" t="s">
        <v>4169</v>
      </c>
      <c r="Y2057" t="s">
        <v>36</v>
      </c>
      <c r="Z2057" t="str">
        <f>"85755"</f>
        <v>85755</v>
      </c>
      <c r="AA2057" t="str">
        <f>""</f>
        <v/>
      </c>
      <c r="AB2057" t="s">
        <v>3851</v>
      </c>
    </row>
    <row r="2058" spans="1:28" x14ac:dyDescent="0.25">
      <c r="A2058">
        <v>85892</v>
      </c>
      <c r="B2058" t="str">
        <f t="shared" si="306"/>
        <v>102707000</v>
      </c>
      <c r="C2058" t="s">
        <v>7215</v>
      </c>
      <c r="D2058">
        <v>92025</v>
      </c>
      <c r="E2058" t="str">
        <f>"102707016"</f>
        <v>102707016</v>
      </c>
      <c r="F2058" t="s">
        <v>7237</v>
      </c>
      <c r="G2058" t="s">
        <v>42</v>
      </c>
      <c r="H2058" t="s">
        <v>180</v>
      </c>
      <c r="I2058" t="s">
        <v>7216</v>
      </c>
      <c r="J2058" t="s">
        <v>7217</v>
      </c>
      <c r="K2058" t="str">
        <f t="shared" si="307"/>
        <v>5203928379</v>
      </c>
      <c r="L2058" t="str">
        <f>""</f>
        <v/>
      </c>
      <c r="M2058" t="str">
        <f t="shared" si="308"/>
        <v>5205445155</v>
      </c>
      <c r="N2058" t="str">
        <f>""</f>
        <v/>
      </c>
      <c r="O2058" t="s">
        <v>7218</v>
      </c>
      <c r="P2058" t="s">
        <v>7219</v>
      </c>
      <c r="R2058" t="s">
        <v>4169</v>
      </c>
      <c r="S2058" t="s">
        <v>36</v>
      </c>
      <c r="T2058" t="str">
        <f t="shared" si="309"/>
        <v>85705</v>
      </c>
      <c r="U2058" t="str">
        <f>""</f>
        <v/>
      </c>
      <c r="V2058" t="s">
        <v>7238</v>
      </c>
      <c r="X2058" t="s">
        <v>4169</v>
      </c>
      <c r="Y2058" t="s">
        <v>36</v>
      </c>
      <c r="Z2058" t="str">
        <f>"85704"</f>
        <v>85704</v>
      </c>
      <c r="AA2058" t="str">
        <f>""</f>
        <v/>
      </c>
      <c r="AB2058" t="s">
        <v>3851</v>
      </c>
    </row>
    <row r="2059" spans="1:28" x14ac:dyDescent="0.25">
      <c r="A2059">
        <v>85892</v>
      </c>
      <c r="B2059" t="str">
        <f t="shared" si="306"/>
        <v>102707000</v>
      </c>
      <c r="C2059" t="s">
        <v>7215</v>
      </c>
      <c r="D2059">
        <v>92766</v>
      </c>
      <c r="E2059" t="str">
        <f>"102707018"</f>
        <v>102707018</v>
      </c>
      <c r="F2059" t="s">
        <v>7239</v>
      </c>
      <c r="G2059" t="s">
        <v>42</v>
      </c>
      <c r="H2059" t="s">
        <v>180</v>
      </c>
      <c r="I2059" t="s">
        <v>7216</v>
      </c>
      <c r="J2059" t="s">
        <v>7217</v>
      </c>
      <c r="K2059" t="str">
        <f t="shared" si="307"/>
        <v>5203928379</v>
      </c>
      <c r="L2059" t="str">
        <f>""</f>
        <v/>
      </c>
      <c r="M2059" t="str">
        <f t="shared" si="308"/>
        <v>5205445155</v>
      </c>
      <c r="N2059" t="str">
        <f>""</f>
        <v/>
      </c>
      <c r="O2059" t="s">
        <v>7218</v>
      </c>
      <c r="P2059" t="s">
        <v>7219</v>
      </c>
      <c r="R2059" t="s">
        <v>4169</v>
      </c>
      <c r="S2059" t="s">
        <v>36</v>
      </c>
      <c r="T2059" t="str">
        <f t="shared" si="309"/>
        <v>85705</v>
      </c>
      <c r="U2059" t="str">
        <f>""</f>
        <v/>
      </c>
      <c r="V2059" t="s">
        <v>7240</v>
      </c>
      <c r="X2059" t="s">
        <v>4169</v>
      </c>
      <c r="Y2059" t="s">
        <v>36</v>
      </c>
      <c r="Z2059" t="str">
        <f>"85755"</f>
        <v>85755</v>
      </c>
      <c r="AA2059" t="str">
        <f>""</f>
        <v/>
      </c>
      <c r="AB2059" t="s">
        <v>3851</v>
      </c>
    </row>
    <row r="2060" spans="1:28" x14ac:dyDescent="0.25">
      <c r="A2060">
        <v>85926</v>
      </c>
      <c r="B2060" t="str">
        <f>"101908000"</f>
        <v>101908000</v>
      </c>
      <c r="C2060" t="s">
        <v>7241</v>
      </c>
      <c r="D2060">
        <v>0</v>
      </c>
      <c r="E2060" t="str">
        <f>""</f>
        <v/>
      </c>
      <c r="G2060" t="s">
        <v>29</v>
      </c>
      <c r="H2060" t="s">
        <v>360</v>
      </c>
      <c r="I2060" t="s">
        <v>3679</v>
      </c>
      <c r="J2060" t="s">
        <v>7242</v>
      </c>
      <c r="K2060" t="str">
        <f>"5202946403"</f>
        <v>5202946403</v>
      </c>
      <c r="L2060" t="str">
        <f>"1112"</f>
        <v>1112</v>
      </c>
      <c r="M2060" t="str">
        <f>"5202946417"</f>
        <v>5202946417</v>
      </c>
      <c r="N2060" t="str">
        <f>""</f>
        <v/>
      </c>
      <c r="O2060" t="s">
        <v>7243</v>
      </c>
      <c r="P2060" t="s">
        <v>7244</v>
      </c>
      <c r="R2060" t="s">
        <v>4169</v>
      </c>
      <c r="S2060" t="s">
        <v>36</v>
      </c>
      <c r="T2060" t="str">
        <f>"85756"</f>
        <v>85756</v>
      </c>
      <c r="U2060" t="str">
        <f>""</f>
        <v/>
      </c>
      <c r="V2060" t="s">
        <v>7244</v>
      </c>
      <c r="X2060" t="s">
        <v>4169</v>
      </c>
      <c r="Y2060" t="s">
        <v>36</v>
      </c>
      <c r="Z2060" t="str">
        <f>"85756"</f>
        <v>85756</v>
      </c>
      <c r="AA2060" t="str">
        <f>""</f>
        <v/>
      </c>
      <c r="AB2060" t="s">
        <v>56</v>
      </c>
    </row>
    <row r="2061" spans="1:28" x14ac:dyDescent="0.25">
      <c r="A2061">
        <v>85926</v>
      </c>
      <c r="B2061" t="str">
        <f>"101908000"</f>
        <v>101908000</v>
      </c>
      <c r="C2061" t="s">
        <v>7241</v>
      </c>
      <c r="D2061">
        <v>85927</v>
      </c>
      <c r="E2061" t="str">
        <f>"101908001"</f>
        <v>101908001</v>
      </c>
      <c r="F2061" t="s">
        <v>7245</v>
      </c>
      <c r="G2061" t="s">
        <v>42</v>
      </c>
      <c r="H2061" t="s">
        <v>360</v>
      </c>
      <c r="I2061" t="s">
        <v>3679</v>
      </c>
      <c r="J2061" t="s">
        <v>7242</v>
      </c>
      <c r="K2061" t="str">
        <f>"5202946403"</f>
        <v>5202946403</v>
      </c>
      <c r="L2061" t="str">
        <f>"1112"</f>
        <v>1112</v>
      </c>
      <c r="M2061" t="str">
        <f>"5202946417"</f>
        <v>5202946417</v>
      </c>
      <c r="N2061" t="str">
        <f>""</f>
        <v/>
      </c>
      <c r="O2061" t="s">
        <v>7243</v>
      </c>
      <c r="P2061" t="s">
        <v>7244</v>
      </c>
      <c r="R2061" t="s">
        <v>4169</v>
      </c>
      <c r="S2061" t="s">
        <v>36</v>
      </c>
      <c r="T2061" t="str">
        <f>"85756"</f>
        <v>85756</v>
      </c>
      <c r="U2061" t="str">
        <f>""</f>
        <v/>
      </c>
      <c r="V2061" t="s">
        <v>7244</v>
      </c>
      <c r="X2061" t="s">
        <v>4169</v>
      </c>
      <c r="Y2061" t="s">
        <v>36</v>
      </c>
      <c r="Z2061" t="str">
        <f>"85756"</f>
        <v>85756</v>
      </c>
      <c r="AA2061" t="str">
        <f>""</f>
        <v/>
      </c>
      <c r="AB2061" t="s">
        <v>56</v>
      </c>
    </row>
    <row r="2062" spans="1:28" x14ac:dyDescent="0.25">
      <c r="A2062">
        <v>87399</v>
      </c>
      <c r="B2062" t="str">
        <f>"078508000"</f>
        <v>078508000</v>
      </c>
      <c r="C2062" t="s">
        <v>7246</v>
      </c>
      <c r="D2062">
        <v>0</v>
      </c>
      <c r="E2062" t="str">
        <f>""</f>
        <v/>
      </c>
      <c r="G2062" t="s">
        <v>29</v>
      </c>
      <c r="H2062" t="s">
        <v>6179</v>
      </c>
      <c r="I2062" t="s">
        <v>6180</v>
      </c>
      <c r="J2062" t="s">
        <v>6181</v>
      </c>
      <c r="K2062" t="str">
        <f>"4805007059"</f>
        <v>4805007059</v>
      </c>
      <c r="L2062" t="str">
        <f>""</f>
        <v/>
      </c>
      <c r="M2062" t="str">
        <f>""</f>
        <v/>
      </c>
      <c r="N2062" t="str">
        <f>""</f>
        <v/>
      </c>
      <c r="O2062" t="s">
        <v>6182</v>
      </c>
      <c r="P2062" t="s">
        <v>6183</v>
      </c>
      <c r="R2062" t="s">
        <v>964</v>
      </c>
      <c r="S2062" t="s">
        <v>36</v>
      </c>
      <c r="T2062" t="str">
        <f>"85035"</f>
        <v>85035</v>
      </c>
      <c r="U2062" t="str">
        <f>""</f>
        <v/>
      </c>
      <c r="V2062" t="s">
        <v>7247</v>
      </c>
      <c r="X2062" t="s">
        <v>1806</v>
      </c>
      <c r="Y2062" t="s">
        <v>36</v>
      </c>
      <c r="Z2062" t="str">
        <f>"85379"</f>
        <v>85379</v>
      </c>
      <c r="AA2062" t="str">
        <f>""</f>
        <v/>
      </c>
      <c r="AB2062" t="s">
        <v>1166</v>
      </c>
    </row>
    <row r="2063" spans="1:28" x14ac:dyDescent="0.25">
      <c r="A2063">
        <v>87399</v>
      </c>
      <c r="B2063" t="str">
        <f>"078508000"</f>
        <v>078508000</v>
      </c>
      <c r="C2063" t="s">
        <v>7246</v>
      </c>
      <c r="D2063">
        <v>87400</v>
      </c>
      <c r="E2063" t="str">
        <f>"078508101"</f>
        <v>078508101</v>
      </c>
      <c r="F2063" t="s">
        <v>7248</v>
      </c>
      <c r="G2063" t="s">
        <v>42</v>
      </c>
      <c r="H2063" t="s">
        <v>210</v>
      </c>
      <c r="I2063" t="s">
        <v>7249</v>
      </c>
      <c r="J2063" t="s">
        <v>301</v>
      </c>
      <c r="K2063" t="str">
        <f>"6233444300"</f>
        <v>6233444300</v>
      </c>
      <c r="L2063" t="str">
        <f>""</f>
        <v/>
      </c>
      <c r="M2063" t="str">
        <f>"6233444310"</f>
        <v>6233444310</v>
      </c>
      <c r="N2063" t="str">
        <f>""</f>
        <v/>
      </c>
      <c r="O2063" t="s">
        <v>7250</v>
      </c>
      <c r="P2063" t="s">
        <v>6183</v>
      </c>
      <c r="R2063" t="s">
        <v>964</v>
      </c>
      <c r="S2063" t="s">
        <v>36</v>
      </c>
      <c r="T2063" t="str">
        <f>"85035"</f>
        <v>85035</v>
      </c>
      <c r="U2063" t="str">
        <f>""</f>
        <v/>
      </c>
      <c r="V2063" t="s">
        <v>7251</v>
      </c>
      <c r="X2063" t="s">
        <v>1806</v>
      </c>
      <c r="Y2063" t="s">
        <v>36</v>
      </c>
      <c r="Z2063" t="str">
        <f>"85379"</f>
        <v>85379</v>
      </c>
      <c r="AA2063" t="str">
        <f>""</f>
        <v/>
      </c>
      <c r="AB2063" t="s">
        <v>1166</v>
      </c>
    </row>
    <row r="2064" spans="1:28" x14ac:dyDescent="0.25">
      <c r="A2064">
        <v>87401</v>
      </c>
      <c r="B2064" t="str">
        <f>"078509000"</f>
        <v>078509000</v>
      </c>
      <c r="C2064" t="s">
        <v>7252</v>
      </c>
      <c r="D2064">
        <v>0</v>
      </c>
      <c r="E2064" t="str">
        <f>""</f>
        <v/>
      </c>
      <c r="G2064" t="s">
        <v>29</v>
      </c>
      <c r="H2064" t="s">
        <v>6179</v>
      </c>
      <c r="I2064" t="s">
        <v>6180</v>
      </c>
      <c r="J2064" t="s">
        <v>6181</v>
      </c>
      <c r="K2064" t="str">
        <f>"4805007059"</f>
        <v>4805007059</v>
      </c>
      <c r="L2064" t="str">
        <f>""</f>
        <v/>
      </c>
      <c r="M2064" t="str">
        <f>""</f>
        <v/>
      </c>
      <c r="N2064" t="str">
        <f>""</f>
        <v/>
      </c>
      <c r="O2064" t="s">
        <v>6182</v>
      </c>
      <c r="P2064" t="s">
        <v>6183</v>
      </c>
      <c r="R2064" t="s">
        <v>964</v>
      </c>
      <c r="S2064" t="s">
        <v>36</v>
      </c>
      <c r="T2064" t="str">
        <f>"85035"</f>
        <v>85035</v>
      </c>
      <c r="U2064" t="str">
        <f>""</f>
        <v/>
      </c>
      <c r="V2064" t="s">
        <v>7253</v>
      </c>
      <c r="X2064" t="s">
        <v>979</v>
      </c>
      <c r="Y2064" t="s">
        <v>36</v>
      </c>
      <c r="Z2064" t="str">
        <f>"85209"</f>
        <v>85209</v>
      </c>
      <c r="AA2064" t="str">
        <f>""</f>
        <v/>
      </c>
      <c r="AB2064" t="s">
        <v>1166</v>
      </c>
    </row>
    <row r="2065" spans="1:28" x14ac:dyDescent="0.25">
      <c r="A2065">
        <v>87401</v>
      </c>
      <c r="B2065" t="str">
        <f>"078509000"</f>
        <v>078509000</v>
      </c>
      <c r="C2065" t="s">
        <v>7252</v>
      </c>
      <c r="D2065">
        <v>87402</v>
      </c>
      <c r="E2065" t="str">
        <f>"078509101"</f>
        <v>078509101</v>
      </c>
      <c r="F2065" t="s">
        <v>7254</v>
      </c>
      <c r="G2065" t="s">
        <v>42</v>
      </c>
      <c r="H2065" t="s">
        <v>1318</v>
      </c>
      <c r="I2065" t="s">
        <v>7255</v>
      </c>
      <c r="J2065" t="s">
        <v>7256</v>
      </c>
      <c r="K2065" t="str">
        <f>"4803556830"</f>
        <v>4803556830</v>
      </c>
      <c r="L2065" t="str">
        <f>"226"</f>
        <v>226</v>
      </c>
      <c r="M2065" t="str">
        <f>"4803556840"</f>
        <v>4803556840</v>
      </c>
      <c r="N2065" t="str">
        <f>""</f>
        <v/>
      </c>
      <c r="O2065" t="s">
        <v>7257</v>
      </c>
      <c r="P2065" t="s">
        <v>6183</v>
      </c>
      <c r="R2065" t="s">
        <v>964</v>
      </c>
      <c r="S2065" t="s">
        <v>36</v>
      </c>
      <c r="T2065" t="str">
        <f>"85035"</f>
        <v>85035</v>
      </c>
      <c r="U2065" t="str">
        <f>""</f>
        <v/>
      </c>
      <c r="V2065" t="s">
        <v>7258</v>
      </c>
      <c r="X2065" t="s">
        <v>979</v>
      </c>
      <c r="Y2065" t="s">
        <v>36</v>
      </c>
      <c r="Z2065" t="str">
        <f>"85209"</f>
        <v>85209</v>
      </c>
      <c r="AA2065" t="str">
        <f>""</f>
        <v/>
      </c>
      <c r="AB2065" t="s">
        <v>1166</v>
      </c>
    </row>
    <row r="2066" spans="1:28" x14ac:dyDescent="0.25">
      <c r="A2066">
        <v>87567</v>
      </c>
      <c r="B2066" t="str">
        <f>"112778000"</f>
        <v>112778000</v>
      </c>
      <c r="C2066" t="s">
        <v>7259</v>
      </c>
      <c r="D2066">
        <v>0</v>
      </c>
      <c r="E2066" t="str">
        <f>""</f>
        <v/>
      </c>
      <c r="G2066" t="s">
        <v>29</v>
      </c>
      <c r="H2066" t="s">
        <v>5060</v>
      </c>
      <c r="I2066" t="s">
        <v>7260</v>
      </c>
      <c r="J2066" t="s">
        <v>5777</v>
      </c>
      <c r="K2066" t="str">
        <f>"5204172115"</f>
        <v>5204172115</v>
      </c>
      <c r="L2066" t="str">
        <f>""</f>
        <v/>
      </c>
      <c r="M2066" t="str">
        <f>"5204172114"</f>
        <v>5204172114</v>
      </c>
      <c r="N2066" t="str">
        <f>""</f>
        <v/>
      </c>
      <c r="O2066" t="s">
        <v>7261</v>
      </c>
      <c r="P2066" t="s">
        <v>7262</v>
      </c>
      <c r="R2066" t="s">
        <v>365</v>
      </c>
      <c r="S2066" t="s">
        <v>36</v>
      </c>
      <c r="T2066" t="str">
        <f>"85635"</f>
        <v>85635</v>
      </c>
      <c r="U2066" t="str">
        <f>""</f>
        <v/>
      </c>
      <c r="V2066" t="s">
        <v>7262</v>
      </c>
      <c r="X2066" t="s">
        <v>365</v>
      </c>
      <c r="Y2066" t="s">
        <v>36</v>
      </c>
      <c r="Z2066" t="str">
        <f>"85635"</f>
        <v>85635</v>
      </c>
      <c r="AA2066" t="str">
        <f>""</f>
        <v/>
      </c>
      <c r="AB2066" t="s">
        <v>632</v>
      </c>
    </row>
    <row r="2067" spans="1:28" x14ac:dyDescent="0.25">
      <c r="A2067">
        <v>87567</v>
      </c>
      <c r="B2067" t="str">
        <f>"112778000"</f>
        <v>112778000</v>
      </c>
      <c r="C2067" t="s">
        <v>7259</v>
      </c>
      <c r="D2067">
        <v>87568</v>
      </c>
      <c r="E2067" t="str">
        <f>"112778001"</f>
        <v>112778001</v>
      </c>
      <c r="F2067" t="s">
        <v>7263</v>
      </c>
      <c r="G2067" t="s">
        <v>42</v>
      </c>
      <c r="H2067" t="s">
        <v>7264</v>
      </c>
      <c r="I2067" t="s">
        <v>7265</v>
      </c>
      <c r="J2067" t="s">
        <v>6281</v>
      </c>
      <c r="K2067" t="str">
        <f>"5204172115"</f>
        <v>5204172115</v>
      </c>
      <c r="L2067" t="str">
        <f>""</f>
        <v/>
      </c>
      <c r="M2067" t="str">
        <f>"5204172114"</f>
        <v>5204172114</v>
      </c>
      <c r="N2067" t="str">
        <f>""</f>
        <v/>
      </c>
      <c r="O2067" t="s">
        <v>7266</v>
      </c>
      <c r="P2067" t="s">
        <v>7262</v>
      </c>
      <c r="R2067" t="s">
        <v>365</v>
      </c>
      <c r="S2067" t="s">
        <v>36</v>
      </c>
      <c r="T2067" t="str">
        <f>"85607"</f>
        <v>85607</v>
      </c>
      <c r="U2067" t="str">
        <f>""</f>
        <v/>
      </c>
      <c r="V2067" t="s">
        <v>7262</v>
      </c>
      <c r="X2067" t="s">
        <v>365</v>
      </c>
      <c r="Y2067" t="s">
        <v>36</v>
      </c>
      <c r="Z2067" t="str">
        <f>"85607"</f>
        <v>85607</v>
      </c>
      <c r="AA2067" t="str">
        <f>""</f>
        <v/>
      </c>
      <c r="AB2067" t="s">
        <v>632</v>
      </c>
    </row>
    <row r="2068" spans="1:28" x14ac:dyDescent="0.25">
      <c r="A2068">
        <v>87567</v>
      </c>
      <c r="B2068" t="str">
        <f>"112778000"</f>
        <v>112778000</v>
      </c>
      <c r="C2068" t="s">
        <v>7259</v>
      </c>
      <c r="D2068">
        <v>87569</v>
      </c>
      <c r="E2068" t="str">
        <f>"112778002"</f>
        <v>112778002</v>
      </c>
      <c r="F2068" t="s">
        <v>7267</v>
      </c>
      <c r="G2068" t="s">
        <v>42</v>
      </c>
      <c r="H2068" t="s">
        <v>7264</v>
      </c>
      <c r="I2068" t="s">
        <v>7265</v>
      </c>
      <c r="J2068" t="s">
        <v>6281</v>
      </c>
      <c r="K2068" t="str">
        <f>"5204172115"</f>
        <v>5204172115</v>
      </c>
      <c r="L2068" t="str">
        <f>""</f>
        <v/>
      </c>
      <c r="M2068" t="str">
        <f>"5204172114"</f>
        <v>5204172114</v>
      </c>
      <c r="N2068" t="str">
        <f>""</f>
        <v/>
      </c>
      <c r="O2068" t="s">
        <v>7266</v>
      </c>
      <c r="P2068" t="s">
        <v>7268</v>
      </c>
      <c r="R2068" t="s">
        <v>428</v>
      </c>
      <c r="S2068" t="s">
        <v>36</v>
      </c>
      <c r="T2068" t="str">
        <f>"85615"</f>
        <v>85615</v>
      </c>
      <c r="U2068" t="str">
        <f>""</f>
        <v/>
      </c>
      <c r="V2068" t="s">
        <v>7268</v>
      </c>
      <c r="X2068" t="s">
        <v>428</v>
      </c>
      <c r="Y2068" t="s">
        <v>36</v>
      </c>
      <c r="Z2068" t="str">
        <f>"85615"</f>
        <v>85615</v>
      </c>
      <c r="AA2068" t="str">
        <f>""</f>
        <v/>
      </c>
      <c r="AB2068" t="s">
        <v>632</v>
      </c>
    </row>
    <row r="2069" spans="1:28" x14ac:dyDescent="0.25">
      <c r="A2069">
        <v>87567</v>
      </c>
      <c r="B2069" t="str">
        <f>"112778000"</f>
        <v>112778000</v>
      </c>
      <c r="C2069" t="s">
        <v>7259</v>
      </c>
      <c r="D2069">
        <v>87570</v>
      </c>
      <c r="E2069" t="str">
        <f>"112778003"</f>
        <v>112778003</v>
      </c>
      <c r="F2069" t="s">
        <v>7269</v>
      </c>
      <c r="G2069" t="s">
        <v>42</v>
      </c>
      <c r="H2069" t="s">
        <v>7264</v>
      </c>
      <c r="I2069" t="s">
        <v>7265</v>
      </c>
      <c r="J2069" t="s">
        <v>6281</v>
      </c>
      <c r="K2069" t="str">
        <f>"5204172115"</f>
        <v>5204172115</v>
      </c>
      <c r="L2069" t="str">
        <f>""</f>
        <v/>
      </c>
      <c r="M2069" t="str">
        <f>"5204172114"</f>
        <v>5204172114</v>
      </c>
      <c r="N2069" t="str">
        <f>""</f>
        <v/>
      </c>
      <c r="O2069" t="s">
        <v>7266</v>
      </c>
      <c r="P2069" t="s">
        <v>7262</v>
      </c>
      <c r="R2069" t="s">
        <v>365</v>
      </c>
      <c r="S2069" t="s">
        <v>36</v>
      </c>
      <c r="T2069" t="str">
        <f>"85635"</f>
        <v>85635</v>
      </c>
      <c r="U2069" t="str">
        <f>""</f>
        <v/>
      </c>
      <c r="V2069" t="s">
        <v>7262</v>
      </c>
      <c r="X2069" t="s">
        <v>365</v>
      </c>
      <c r="Y2069" t="s">
        <v>36</v>
      </c>
      <c r="Z2069" t="str">
        <f>"85635"</f>
        <v>85635</v>
      </c>
      <c r="AA2069" t="str">
        <f>""</f>
        <v/>
      </c>
      <c r="AB2069" t="s">
        <v>632</v>
      </c>
    </row>
    <row r="2070" spans="1:28" x14ac:dyDescent="0.25">
      <c r="A2070">
        <v>87694</v>
      </c>
      <c r="B2070" t="str">
        <f t="shared" ref="B2070:B2078" si="310">"072781000"</f>
        <v>072781000</v>
      </c>
      <c r="C2070" t="s">
        <v>7270</v>
      </c>
      <c r="D2070">
        <v>0</v>
      </c>
      <c r="E2070" t="str">
        <f>""</f>
        <v/>
      </c>
      <c r="G2070" t="s">
        <v>29</v>
      </c>
      <c r="H2070" t="s">
        <v>320</v>
      </c>
      <c r="I2070" t="s">
        <v>110</v>
      </c>
      <c r="J2070" t="s">
        <v>7271</v>
      </c>
      <c r="K2070" t="str">
        <f>"5125832513"</f>
        <v>5125832513</v>
      </c>
      <c r="L2070" t="str">
        <f>"4113"</f>
        <v>4113</v>
      </c>
      <c r="M2070" t="str">
        <f>"5124620582"</f>
        <v>5124620582</v>
      </c>
      <c r="N2070" t="str">
        <f>""</f>
        <v/>
      </c>
      <c r="O2070" t="s">
        <v>7272</v>
      </c>
      <c r="P2070" t="s">
        <v>7273</v>
      </c>
      <c r="R2070" t="s">
        <v>7274</v>
      </c>
      <c r="S2070" t="s">
        <v>7275</v>
      </c>
      <c r="T2070" t="str">
        <f>"78721"</f>
        <v>78721</v>
      </c>
      <c r="U2070" t="str">
        <f>""</f>
        <v/>
      </c>
      <c r="V2070" t="s">
        <v>7273</v>
      </c>
      <c r="X2070" t="s">
        <v>7274</v>
      </c>
      <c r="Y2070" t="s">
        <v>7275</v>
      </c>
      <c r="Z2070" t="str">
        <f>"78721"</f>
        <v>78721</v>
      </c>
      <c r="AA2070" t="str">
        <f>""</f>
        <v/>
      </c>
      <c r="AB2070" t="s">
        <v>249</v>
      </c>
    </row>
    <row r="2071" spans="1:28" x14ac:dyDescent="0.25">
      <c r="A2071">
        <v>87694</v>
      </c>
      <c r="B2071" t="str">
        <f t="shared" si="310"/>
        <v>072781000</v>
      </c>
      <c r="C2071" t="s">
        <v>7270</v>
      </c>
      <c r="D2071">
        <v>87695</v>
      </c>
      <c r="E2071" t="str">
        <f>"072781001"</f>
        <v>072781001</v>
      </c>
      <c r="F2071" t="s">
        <v>7276</v>
      </c>
      <c r="G2071" t="s">
        <v>42</v>
      </c>
      <c r="H2071" t="s">
        <v>398</v>
      </c>
      <c r="I2071" t="s">
        <v>7277</v>
      </c>
      <c r="J2071" t="s">
        <v>7278</v>
      </c>
      <c r="K2071" t="str">
        <f>"6028411038"</f>
        <v>6028411038</v>
      </c>
      <c r="L2071" t="str">
        <f>""</f>
        <v/>
      </c>
      <c r="M2071" t="str">
        <f>"6022422282"</f>
        <v>6022422282</v>
      </c>
      <c r="N2071" t="str">
        <f>""</f>
        <v/>
      </c>
      <c r="O2071" t="s">
        <v>7279</v>
      </c>
      <c r="P2071" t="s">
        <v>7280</v>
      </c>
      <c r="R2071" t="s">
        <v>964</v>
      </c>
      <c r="S2071" t="s">
        <v>36</v>
      </c>
      <c r="T2071" t="str">
        <f>"85017"</f>
        <v>85017</v>
      </c>
      <c r="U2071" t="str">
        <f>""</f>
        <v/>
      </c>
      <c r="V2071" t="s">
        <v>7280</v>
      </c>
      <c r="X2071" t="s">
        <v>964</v>
      </c>
      <c r="Y2071" t="s">
        <v>36</v>
      </c>
      <c r="Z2071" t="str">
        <f>"85017"</f>
        <v>85017</v>
      </c>
      <c r="AA2071" t="str">
        <f>""</f>
        <v/>
      </c>
      <c r="AB2071" t="s">
        <v>249</v>
      </c>
    </row>
    <row r="2072" spans="1:28" x14ac:dyDescent="0.25">
      <c r="A2072">
        <v>87694</v>
      </c>
      <c r="B2072" t="str">
        <f t="shared" si="310"/>
        <v>072781000</v>
      </c>
      <c r="C2072" t="s">
        <v>7270</v>
      </c>
      <c r="D2072">
        <v>87696</v>
      </c>
      <c r="E2072" t="str">
        <f>"072781002"</f>
        <v>072781002</v>
      </c>
      <c r="F2072" t="s">
        <v>7281</v>
      </c>
      <c r="G2072" t="s">
        <v>42</v>
      </c>
      <c r="H2072" t="s">
        <v>320</v>
      </c>
      <c r="I2072" t="s">
        <v>110</v>
      </c>
      <c r="J2072" t="s">
        <v>7271</v>
      </c>
      <c r="K2072" t="str">
        <f>"5125832513"</f>
        <v>5125832513</v>
      </c>
      <c r="L2072" t="str">
        <f>""</f>
        <v/>
      </c>
      <c r="M2072" t="str">
        <f>"5124620582"</f>
        <v>5124620582</v>
      </c>
      <c r="N2072" t="str">
        <f>""</f>
        <v/>
      </c>
      <c r="O2072" t="s">
        <v>7272</v>
      </c>
      <c r="P2072" t="s">
        <v>7282</v>
      </c>
      <c r="R2072" t="s">
        <v>964</v>
      </c>
      <c r="S2072" t="s">
        <v>36</v>
      </c>
      <c r="T2072" t="str">
        <f>"85014"</f>
        <v>85014</v>
      </c>
      <c r="U2072" t="str">
        <f>"5601"</f>
        <v>5601</v>
      </c>
      <c r="V2072" t="s">
        <v>7282</v>
      </c>
      <c r="X2072" t="s">
        <v>964</v>
      </c>
      <c r="Y2072" t="s">
        <v>36</v>
      </c>
      <c r="Z2072" t="str">
        <f>"85014"</f>
        <v>85014</v>
      </c>
      <c r="AA2072" t="str">
        <f>"5601"</f>
        <v>5601</v>
      </c>
      <c r="AB2072" t="s">
        <v>249</v>
      </c>
    </row>
    <row r="2073" spans="1:28" x14ac:dyDescent="0.25">
      <c r="A2073">
        <v>87694</v>
      </c>
      <c r="B2073" t="str">
        <f t="shared" si="310"/>
        <v>072781000</v>
      </c>
      <c r="C2073" t="s">
        <v>7270</v>
      </c>
      <c r="D2073">
        <v>89946</v>
      </c>
      <c r="E2073" t="str">
        <f>"072781003"</f>
        <v>072781003</v>
      </c>
      <c r="F2073" t="s">
        <v>7283</v>
      </c>
      <c r="G2073" t="s">
        <v>42</v>
      </c>
      <c r="H2073" t="s">
        <v>320</v>
      </c>
      <c r="I2073" t="s">
        <v>110</v>
      </c>
      <c r="J2073" t="s">
        <v>7271</v>
      </c>
      <c r="K2073" t="str">
        <f>"6234355212"</f>
        <v>6234355212</v>
      </c>
      <c r="L2073" t="str">
        <f>""</f>
        <v/>
      </c>
      <c r="M2073" t="str">
        <f>"6234355218"</f>
        <v>6234355218</v>
      </c>
      <c r="N2073" t="str">
        <f>""</f>
        <v/>
      </c>
      <c r="O2073" t="s">
        <v>7272</v>
      </c>
      <c r="P2073" t="s">
        <v>7284</v>
      </c>
      <c r="R2073" t="s">
        <v>1173</v>
      </c>
      <c r="S2073" t="s">
        <v>36</v>
      </c>
      <c r="T2073" t="str">
        <f>"85301"</f>
        <v>85301</v>
      </c>
      <c r="U2073" t="str">
        <f>""</f>
        <v/>
      </c>
      <c r="V2073" t="s">
        <v>7284</v>
      </c>
      <c r="X2073" t="s">
        <v>1173</v>
      </c>
      <c r="Y2073" t="s">
        <v>36</v>
      </c>
      <c r="Z2073" t="str">
        <f>"85301"</f>
        <v>85301</v>
      </c>
      <c r="AA2073" t="str">
        <f>""</f>
        <v/>
      </c>
      <c r="AB2073" t="s">
        <v>249</v>
      </c>
    </row>
    <row r="2074" spans="1:28" x14ac:dyDescent="0.25">
      <c r="A2074">
        <v>87694</v>
      </c>
      <c r="B2074" t="str">
        <f t="shared" si="310"/>
        <v>072781000</v>
      </c>
      <c r="C2074" t="s">
        <v>7270</v>
      </c>
      <c r="D2074">
        <v>92288</v>
      </c>
      <c r="E2074" t="str">
        <f>"072781004"</f>
        <v>072781004</v>
      </c>
      <c r="F2074" t="s">
        <v>7285</v>
      </c>
      <c r="G2074" t="s">
        <v>42</v>
      </c>
      <c r="H2074" t="s">
        <v>320</v>
      </c>
      <c r="I2074" t="s">
        <v>110</v>
      </c>
      <c r="J2074" t="s">
        <v>7271</v>
      </c>
      <c r="K2074" t="str">
        <f>"5125832513"</f>
        <v>5125832513</v>
      </c>
      <c r="L2074" t="str">
        <f>""</f>
        <v/>
      </c>
      <c r="M2074" t="str">
        <f>"5124620582"</f>
        <v>5124620582</v>
      </c>
      <c r="N2074" t="str">
        <f>""</f>
        <v/>
      </c>
      <c r="O2074" t="s">
        <v>7286</v>
      </c>
      <c r="P2074" t="s">
        <v>7287</v>
      </c>
      <c r="R2074" t="s">
        <v>7288</v>
      </c>
      <c r="S2074" t="s">
        <v>36</v>
      </c>
      <c r="T2074" t="str">
        <f>"85363"</f>
        <v>85363</v>
      </c>
      <c r="U2074" t="str">
        <f>""</f>
        <v/>
      </c>
      <c r="V2074" t="s">
        <v>7287</v>
      </c>
      <c r="X2074" t="s">
        <v>7288</v>
      </c>
      <c r="Y2074" t="s">
        <v>36</v>
      </c>
      <c r="Z2074" t="str">
        <f>"85363"</f>
        <v>85363</v>
      </c>
      <c r="AA2074" t="str">
        <f>""</f>
        <v/>
      </c>
      <c r="AB2074" t="s">
        <v>249</v>
      </c>
    </row>
    <row r="2075" spans="1:28" x14ac:dyDescent="0.25">
      <c r="A2075">
        <v>87694</v>
      </c>
      <c r="B2075" t="str">
        <f t="shared" si="310"/>
        <v>072781000</v>
      </c>
      <c r="C2075" t="s">
        <v>7270</v>
      </c>
      <c r="D2075">
        <v>92672</v>
      </c>
      <c r="E2075" t="str">
        <f>"072781005"</f>
        <v>072781005</v>
      </c>
      <c r="F2075" t="s">
        <v>7289</v>
      </c>
      <c r="G2075" t="s">
        <v>42</v>
      </c>
      <c r="H2075" t="s">
        <v>320</v>
      </c>
      <c r="I2075" t="s">
        <v>110</v>
      </c>
      <c r="J2075" t="s">
        <v>7271</v>
      </c>
      <c r="K2075" t="str">
        <f>"5125832513"</f>
        <v>5125832513</v>
      </c>
      <c r="L2075" t="str">
        <f>""</f>
        <v/>
      </c>
      <c r="M2075" t="str">
        <f>""</f>
        <v/>
      </c>
      <c r="N2075" t="str">
        <f>""</f>
        <v/>
      </c>
      <c r="O2075" t="s">
        <v>7272</v>
      </c>
      <c r="P2075" t="s">
        <v>7290</v>
      </c>
      <c r="R2075" t="s">
        <v>964</v>
      </c>
      <c r="S2075" t="s">
        <v>36</v>
      </c>
      <c r="T2075" t="str">
        <f>"85007"</f>
        <v>85007</v>
      </c>
      <c r="U2075" t="str">
        <f>""</f>
        <v/>
      </c>
      <c r="V2075" t="s">
        <v>7290</v>
      </c>
      <c r="X2075" t="s">
        <v>964</v>
      </c>
      <c r="Y2075" t="s">
        <v>36</v>
      </c>
      <c r="Z2075" t="str">
        <f>"85007"</f>
        <v>85007</v>
      </c>
      <c r="AA2075" t="str">
        <f>""</f>
        <v/>
      </c>
      <c r="AB2075" t="s">
        <v>249</v>
      </c>
    </row>
    <row r="2076" spans="1:28" x14ac:dyDescent="0.25">
      <c r="A2076">
        <v>87694</v>
      </c>
      <c r="B2076" t="str">
        <f t="shared" si="310"/>
        <v>072781000</v>
      </c>
      <c r="C2076" t="s">
        <v>7270</v>
      </c>
      <c r="D2076">
        <v>92673</v>
      </c>
      <c r="E2076" t="str">
        <f>"072781006"</f>
        <v>072781006</v>
      </c>
      <c r="F2076" t="s">
        <v>7291</v>
      </c>
      <c r="G2076" t="s">
        <v>42</v>
      </c>
      <c r="H2076" t="s">
        <v>320</v>
      </c>
      <c r="I2076" t="s">
        <v>110</v>
      </c>
      <c r="J2076" t="s">
        <v>7271</v>
      </c>
      <c r="K2076" t="str">
        <f>"5125832513"</f>
        <v>5125832513</v>
      </c>
      <c r="L2076" t="str">
        <f>""</f>
        <v/>
      </c>
      <c r="M2076" t="str">
        <f>"5124620582"</f>
        <v>5124620582</v>
      </c>
      <c r="N2076" t="str">
        <f>""</f>
        <v/>
      </c>
      <c r="O2076" t="s">
        <v>7272</v>
      </c>
      <c r="P2076" t="s">
        <v>7292</v>
      </c>
      <c r="R2076" t="s">
        <v>979</v>
      </c>
      <c r="S2076" t="s">
        <v>36</v>
      </c>
      <c r="T2076" t="str">
        <f>"85201"</f>
        <v>85201</v>
      </c>
      <c r="U2076" t="str">
        <f>""</f>
        <v/>
      </c>
      <c r="V2076" t="s">
        <v>7292</v>
      </c>
      <c r="X2076" t="s">
        <v>979</v>
      </c>
      <c r="Y2076" t="s">
        <v>36</v>
      </c>
      <c r="Z2076" t="str">
        <f>"85201"</f>
        <v>85201</v>
      </c>
      <c r="AA2076" t="str">
        <f>""</f>
        <v/>
      </c>
      <c r="AB2076" t="s">
        <v>249</v>
      </c>
    </row>
    <row r="2077" spans="1:28" x14ac:dyDescent="0.25">
      <c r="A2077">
        <v>87694</v>
      </c>
      <c r="B2077" t="str">
        <f t="shared" si="310"/>
        <v>072781000</v>
      </c>
      <c r="C2077" t="s">
        <v>7270</v>
      </c>
      <c r="D2077">
        <v>92697</v>
      </c>
      <c r="E2077" t="str">
        <f>"072781007"</f>
        <v>072781007</v>
      </c>
      <c r="F2077" t="s">
        <v>7293</v>
      </c>
      <c r="G2077" t="s">
        <v>42</v>
      </c>
      <c r="H2077" t="s">
        <v>320</v>
      </c>
      <c r="I2077" t="s">
        <v>110</v>
      </c>
      <c r="J2077" t="s">
        <v>7271</v>
      </c>
      <c r="K2077" t="str">
        <f>"5125832513"</f>
        <v>5125832513</v>
      </c>
      <c r="L2077" t="str">
        <f>""</f>
        <v/>
      </c>
      <c r="M2077" t="str">
        <f>""</f>
        <v/>
      </c>
      <c r="N2077" t="str">
        <f>""</f>
        <v/>
      </c>
      <c r="O2077" t="s">
        <v>7272</v>
      </c>
      <c r="P2077" t="s">
        <v>7294</v>
      </c>
      <c r="R2077" t="s">
        <v>4169</v>
      </c>
      <c r="S2077" t="s">
        <v>36</v>
      </c>
      <c r="T2077" t="str">
        <f>"85705"</f>
        <v>85705</v>
      </c>
      <c r="U2077" t="str">
        <f>""</f>
        <v/>
      </c>
      <c r="V2077" t="s">
        <v>7294</v>
      </c>
      <c r="X2077" t="s">
        <v>4169</v>
      </c>
      <c r="Y2077" t="s">
        <v>36</v>
      </c>
      <c r="Z2077" t="str">
        <f>"85705"</f>
        <v>85705</v>
      </c>
      <c r="AA2077" t="str">
        <f>""</f>
        <v/>
      </c>
      <c r="AB2077" t="s">
        <v>249</v>
      </c>
    </row>
    <row r="2078" spans="1:28" x14ac:dyDescent="0.25">
      <c r="A2078">
        <v>87694</v>
      </c>
      <c r="B2078" t="str">
        <f t="shared" si="310"/>
        <v>072781000</v>
      </c>
      <c r="C2078" t="s">
        <v>7270</v>
      </c>
      <c r="D2078">
        <v>967958</v>
      </c>
      <c r="E2078" t="str">
        <f>"072781008"</f>
        <v>072781008</v>
      </c>
      <c r="F2078" t="s">
        <v>7295</v>
      </c>
      <c r="G2078" t="s">
        <v>42</v>
      </c>
      <c r="H2078" t="s">
        <v>320</v>
      </c>
      <c r="I2078" t="s">
        <v>110</v>
      </c>
      <c r="J2078" t="s">
        <v>7296</v>
      </c>
      <c r="K2078" t="str">
        <f>"5125832513"</f>
        <v>5125832513</v>
      </c>
      <c r="L2078" t="str">
        <f>""</f>
        <v/>
      </c>
      <c r="M2078" t="str">
        <f>"5124620582"</f>
        <v>5124620582</v>
      </c>
      <c r="N2078" t="str">
        <f>""</f>
        <v/>
      </c>
      <c r="O2078" t="s">
        <v>7272</v>
      </c>
      <c r="P2078" t="s">
        <v>7297</v>
      </c>
      <c r="R2078" t="s">
        <v>979</v>
      </c>
      <c r="S2078" t="s">
        <v>36</v>
      </c>
      <c r="T2078" t="str">
        <f>"85204"</f>
        <v>85204</v>
      </c>
      <c r="U2078" t="str">
        <f>""</f>
        <v/>
      </c>
      <c r="V2078" t="s">
        <v>7297</v>
      </c>
      <c r="X2078" t="s">
        <v>979</v>
      </c>
      <c r="Y2078" t="s">
        <v>36</v>
      </c>
      <c r="Z2078" t="str">
        <f>"85204"</f>
        <v>85204</v>
      </c>
      <c r="AA2078" t="str">
        <f>""</f>
        <v/>
      </c>
      <c r="AB2078" t="s">
        <v>249</v>
      </c>
    </row>
    <row r="2079" spans="1:28" x14ac:dyDescent="0.25">
      <c r="A2079">
        <v>87884</v>
      </c>
      <c r="B2079" t="str">
        <f>"013902000"</f>
        <v>013902000</v>
      </c>
      <c r="C2079" t="s">
        <v>7298</v>
      </c>
      <c r="D2079">
        <v>0</v>
      </c>
      <c r="E2079" t="str">
        <f>""</f>
        <v/>
      </c>
      <c r="G2079" t="s">
        <v>29</v>
      </c>
      <c r="H2079" t="s">
        <v>7299</v>
      </c>
      <c r="I2079" t="s">
        <v>7300</v>
      </c>
      <c r="J2079" t="s">
        <v>4389</v>
      </c>
      <c r="K2079" t="str">
        <f>"9287556125"</f>
        <v>9287556125</v>
      </c>
      <c r="L2079" t="str">
        <f>"6"</f>
        <v>6</v>
      </c>
      <c r="M2079" t="str">
        <f>"9287553729"</f>
        <v>9287553729</v>
      </c>
      <c r="N2079" t="str">
        <f>"6"</f>
        <v>6</v>
      </c>
      <c r="O2079" t="s">
        <v>7301</v>
      </c>
      <c r="P2079" t="s">
        <v>7302</v>
      </c>
      <c r="R2079" t="s">
        <v>122</v>
      </c>
      <c r="S2079" t="s">
        <v>36</v>
      </c>
      <c r="T2079" t="str">
        <f>"86505"</f>
        <v>86505</v>
      </c>
      <c r="U2079" t="str">
        <f>""</f>
        <v/>
      </c>
      <c r="V2079" t="s">
        <v>7302</v>
      </c>
      <c r="X2079" t="s">
        <v>122</v>
      </c>
      <c r="Y2079" t="s">
        <v>36</v>
      </c>
      <c r="Z2079" t="str">
        <f>"86505"</f>
        <v>86505</v>
      </c>
      <c r="AA2079" t="str">
        <f>""</f>
        <v/>
      </c>
      <c r="AB2079" t="s">
        <v>282</v>
      </c>
    </row>
    <row r="2080" spans="1:28" x14ac:dyDescent="0.25">
      <c r="A2080">
        <v>87884</v>
      </c>
      <c r="B2080" t="str">
        <f>"013902000"</f>
        <v>013902000</v>
      </c>
      <c r="C2080" t="s">
        <v>7298</v>
      </c>
      <c r="D2080">
        <v>87885</v>
      </c>
      <c r="E2080" t="str">
        <f>"013902001"</f>
        <v>013902001</v>
      </c>
      <c r="F2080" t="s">
        <v>7298</v>
      </c>
      <c r="G2080" t="s">
        <v>42</v>
      </c>
      <c r="H2080" t="s">
        <v>7299</v>
      </c>
      <c r="I2080" t="s">
        <v>7303</v>
      </c>
      <c r="J2080" t="s">
        <v>118</v>
      </c>
      <c r="K2080" t="str">
        <f>"9287556125"</f>
        <v>9287556125</v>
      </c>
      <c r="L2080" t="str">
        <f>"6"</f>
        <v>6</v>
      </c>
      <c r="M2080" t="str">
        <f>"9287553729"</f>
        <v>9287553729</v>
      </c>
      <c r="N2080" t="str">
        <f>""</f>
        <v/>
      </c>
      <c r="O2080" t="s">
        <v>7301</v>
      </c>
      <c r="P2080" t="s">
        <v>7302</v>
      </c>
      <c r="R2080" t="s">
        <v>122</v>
      </c>
      <c r="S2080" t="s">
        <v>36</v>
      </c>
      <c r="T2080" t="str">
        <f>"86505"</f>
        <v>86505</v>
      </c>
      <c r="U2080" t="str">
        <f>""</f>
        <v/>
      </c>
      <c r="V2080" t="s">
        <v>7302</v>
      </c>
      <c r="X2080" t="s">
        <v>122</v>
      </c>
      <c r="Y2080" t="s">
        <v>36</v>
      </c>
      <c r="Z2080" t="str">
        <f>"86505"</f>
        <v>86505</v>
      </c>
      <c r="AA2080" t="str">
        <f>""</f>
        <v/>
      </c>
      <c r="AB2080" t="s">
        <v>282</v>
      </c>
    </row>
    <row r="2081" spans="1:28" x14ac:dyDescent="0.25">
      <c r="A2081">
        <v>88308</v>
      </c>
      <c r="B2081" t="str">
        <f>"108732000"</f>
        <v>108732000</v>
      </c>
      <c r="C2081" t="s">
        <v>7304</v>
      </c>
      <c r="D2081">
        <v>0</v>
      </c>
      <c r="E2081" t="str">
        <f>""</f>
        <v/>
      </c>
      <c r="G2081" t="s">
        <v>29</v>
      </c>
      <c r="H2081" t="s">
        <v>693</v>
      </c>
      <c r="I2081" t="s">
        <v>7305</v>
      </c>
      <c r="J2081" t="s">
        <v>202</v>
      </c>
      <c r="K2081" t="str">
        <f>"5204449343"</f>
        <v>5204449343</v>
      </c>
      <c r="L2081" t="str">
        <f>""</f>
        <v/>
      </c>
      <c r="M2081" t="str">
        <f>"5208448109"</f>
        <v>5208448109</v>
      </c>
      <c r="N2081" t="str">
        <f>""</f>
        <v/>
      </c>
      <c r="O2081" t="s">
        <v>7306</v>
      </c>
      <c r="P2081" t="s">
        <v>7307</v>
      </c>
      <c r="R2081" t="s">
        <v>4169</v>
      </c>
      <c r="S2081" t="s">
        <v>36</v>
      </c>
      <c r="T2081" t="str">
        <f>"85712"</f>
        <v>85712</v>
      </c>
      <c r="U2081" t="str">
        <f>""</f>
        <v/>
      </c>
      <c r="V2081" t="s">
        <v>7307</v>
      </c>
      <c r="X2081" t="s">
        <v>4169</v>
      </c>
      <c r="Y2081" t="s">
        <v>36</v>
      </c>
      <c r="Z2081" t="str">
        <f>"85712"</f>
        <v>85712</v>
      </c>
      <c r="AA2081" t="str">
        <f>""</f>
        <v/>
      </c>
      <c r="AB2081" t="s">
        <v>3851</v>
      </c>
    </row>
    <row r="2082" spans="1:28" x14ac:dyDescent="0.25">
      <c r="A2082">
        <v>88308</v>
      </c>
      <c r="B2082" t="str">
        <f>"108732000"</f>
        <v>108732000</v>
      </c>
      <c r="C2082" t="s">
        <v>7304</v>
      </c>
      <c r="D2082">
        <v>88309</v>
      </c>
      <c r="E2082" t="str">
        <f>"108732101"</f>
        <v>108732101</v>
      </c>
      <c r="F2082" t="s">
        <v>7308</v>
      </c>
      <c r="G2082" t="s">
        <v>42</v>
      </c>
      <c r="H2082" t="s">
        <v>7309</v>
      </c>
      <c r="I2082" t="s">
        <v>379</v>
      </c>
      <c r="J2082" t="s">
        <v>7310</v>
      </c>
      <c r="K2082" t="str">
        <f>"5207453888"</f>
        <v>5207453888</v>
      </c>
      <c r="L2082" t="str">
        <f>""</f>
        <v/>
      </c>
      <c r="M2082" t="str">
        <f>"5208448109"</f>
        <v>5208448109</v>
      </c>
      <c r="N2082" t="str">
        <f>""</f>
        <v/>
      </c>
      <c r="O2082" t="s">
        <v>7311</v>
      </c>
      <c r="P2082" t="s">
        <v>7307</v>
      </c>
      <c r="R2082" t="s">
        <v>4169</v>
      </c>
      <c r="S2082" t="s">
        <v>36</v>
      </c>
      <c r="T2082" t="str">
        <f>"85712"</f>
        <v>85712</v>
      </c>
      <c r="U2082" t="str">
        <f>""</f>
        <v/>
      </c>
      <c r="V2082" t="s">
        <v>7307</v>
      </c>
      <c r="X2082" t="s">
        <v>4169</v>
      </c>
      <c r="Y2082" t="s">
        <v>36</v>
      </c>
      <c r="Z2082" t="str">
        <f>"85712"</f>
        <v>85712</v>
      </c>
      <c r="AA2082" t="str">
        <f>""</f>
        <v/>
      </c>
      <c r="AB2082" t="s">
        <v>3851</v>
      </c>
    </row>
    <row r="2083" spans="1:28" x14ac:dyDescent="0.25">
      <c r="A2083">
        <v>88317</v>
      </c>
      <c r="B2083" t="str">
        <f>"078516000"</f>
        <v>078516000</v>
      </c>
      <c r="C2083" t="s">
        <v>7312</v>
      </c>
      <c r="D2083">
        <v>0</v>
      </c>
      <c r="E2083" t="str">
        <f>""</f>
        <v/>
      </c>
      <c r="G2083" t="s">
        <v>29</v>
      </c>
      <c r="H2083" t="s">
        <v>834</v>
      </c>
      <c r="I2083" t="s">
        <v>379</v>
      </c>
      <c r="J2083" t="s">
        <v>2170</v>
      </c>
      <c r="K2083" t="str">
        <f>"9287728744"</f>
        <v>9287728744</v>
      </c>
      <c r="L2083" t="str">
        <f>""</f>
        <v/>
      </c>
      <c r="M2083" t="str">
        <f>"9287754457"</f>
        <v>9287754457</v>
      </c>
      <c r="N2083" t="str">
        <f>""</f>
        <v/>
      </c>
      <c r="O2083" t="s">
        <v>7313</v>
      </c>
      <c r="P2083" t="s">
        <v>7314</v>
      </c>
      <c r="R2083" t="s">
        <v>5277</v>
      </c>
      <c r="S2083" t="s">
        <v>36</v>
      </c>
      <c r="T2083" t="str">
        <f>"86312"</f>
        <v>86312</v>
      </c>
      <c r="U2083" t="str">
        <f>""</f>
        <v/>
      </c>
      <c r="V2083" t="s">
        <v>7315</v>
      </c>
      <c r="X2083" t="s">
        <v>5277</v>
      </c>
      <c r="Y2083" t="s">
        <v>36</v>
      </c>
      <c r="Z2083" t="str">
        <f>"86314"</f>
        <v>86314</v>
      </c>
      <c r="AA2083" t="str">
        <f>""</f>
        <v/>
      </c>
      <c r="AB2083" t="s">
        <v>86</v>
      </c>
    </row>
    <row r="2084" spans="1:28" x14ac:dyDescent="0.25">
      <c r="A2084">
        <v>88317</v>
      </c>
      <c r="B2084" t="str">
        <f>"078516000"</f>
        <v>078516000</v>
      </c>
      <c r="C2084" t="s">
        <v>7312</v>
      </c>
      <c r="D2084">
        <v>80004</v>
      </c>
      <c r="E2084" t="str">
        <f>"078516002"</f>
        <v>078516002</v>
      </c>
      <c r="F2084" t="s">
        <v>7316</v>
      </c>
      <c r="G2084" t="s">
        <v>42</v>
      </c>
      <c r="H2084" t="s">
        <v>834</v>
      </c>
      <c r="I2084" t="s">
        <v>379</v>
      </c>
      <c r="J2084" t="s">
        <v>2170</v>
      </c>
      <c r="K2084" t="str">
        <f>"9287728744"</f>
        <v>9287728744</v>
      </c>
      <c r="L2084" t="str">
        <f>""</f>
        <v/>
      </c>
      <c r="M2084" t="str">
        <f>"9287754457"</f>
        <v>9287754457</v>
      </c>
      <c r="N2084" t="str">
        <f>""</f>
        <v/>
      </c>
      <c r="O2084" t="s">
        <v>7313</v>
      </c>
      <c r="P2084" t="s">
        <v>7317</v>
      </c>
      <c r="R2084" t="s">
        <v>5277</v>
      </c>
      <c r="S2084" t="s">
        <v>36</v>
      </c>
      <c r="T2084" t="str">
        <f>"86312"</f>
        <v>86312</v>
      </c>
      <c r="U2084" t="str">
        <f>""</f>
        <v/>
      </c>
      <c r="V2084" t="s">
        <v>7318</v>
      </c>
      <c r="X2084" t="s">
        <v>5277</v>
      </c>
      <c r="Y2084" t="s">
        <v>36</v>
      </c>
      <c r="Z2084" t="str">
        <f>"86314"</f>
        <v>86314</v>
      </c>
      <c r="AA2084" t="str">
        <f>""</f>
        <v/>
      </c>
      <c r="AB2084" t="s">
        <v>86</v>
      </c>
    </row>
    <row r="2085" spans="1:28" x14ac:dyDescent="0.25">
      <c r="A2085">
        <v>88334</v>
      </c>
      <c r="B2085" t="str">
        <f>"078517000"</f>
        <v>078517000</v>
      </c>
      <c r="C2085" t="s">
        <v>7319</v>
      </c>
      <c r="D2085">
        <v>0</v>
      </c>
      <c r="E2085" t="str">
        <f>""</f>
        <v/>
      </c>
      <c r="G2085" t="s">
        <v>29</v>
      </c>
      <c r="H2085" t="s">
        <v>3744</v>
      </c>
      <c r="I2085" t="s">
        <v>590</v>
      </c>
      <c r="J2085" t="s">
        <v>3745</v>
      </c>
      <c r="K2085" t="str">
        <f>"6029532933"</f>
        <v>6029532933</v>
      </c>
      <c r="L2085" t="str">
        <f>""</f>
        <v/>
      </c>
      <c r="M2085" t="str">
        <f>""</f>
        <v/>
      </c>
      <c r="N2085" t="str">
        <f>""</f>
        <v/>
      </c>
      <c r="O2085" t="s">
        <v>3746</v>
      </c>
      <c r="P2085" t="s">
        <v>6587</v>
      </c>
      <c r="R2085" t="s">
        <v>964</v>
      </c>
      <c r="S2085" t="s">
        <v>36</v>
      </c>
      <c r="T2085" t="str">
        <f>"85020"</f>
        <v>85020</v>
      </c>
      <c r="U2085" t="str">
        <f>""</f>
        <v/>
      </c>
      <c r="V2085" t="s">
        <v>6587</v>
      </c>
      <c r="X2085" t="s">
        <v>964</v>
      </c>
      <c r="Y2085" t="s">
        <v>36</v>
      </c>
      <c r="Z2085" t="str">
        <f>"85020"</f>
        <v>85020</v>
      </c>
      <c r="AA2085" t="str">
        <f>""</f>
        <v/>
      </c>
      <c r="AB2085" t="s">
        <v>1466</v>
      </c>
    </row>
    <row r="2086" spans="1:28" x14ac:dyDescent="0.25">
      <c r="A2086">
        <v>88334</v>
      </c>
      <c r="B2086" t="str">
        <f>"078517000"</f>
        <v>078517000</v>
      </c>
      <c r="C2086" t="s">
        <v>7319</v>
      </c>
      <c r="D2086">
        <v>88335</v>
      </c>
      <c r="E2086" t="str">
        <f>"078517201"</f>
        <v>078517201</v>
      </c>
      <c r="F2086" t="s">
        <v>7320</v>
      </c>
      <c r="G2086" t="s">
        <v>42</v>
      </c>
      <c r="H2086" t="s">
        <v>1862</v>
      </c>
      <c r="I2086" t="s">
        <v>2435</v>
      </c>
      <c r="J2086" t="s">
        <v>6572</v>
      </c>
      <c r="K2086" t="str">
        <f>"6232470106"</f>
        <v>6232470106</v>
      </c>
      <c r="L2086" t="str">
        <f>""</f>
        <v/>
      </c>
      <c r="M2086" t="str">
        <f>"6232470527"</f>
        <v>6232470527</v>
      </c>
      <c r="N2086" t="str">
        <f>""</f>
        <v/>
      </c>
      <c r="O2086" t="s">
        <v>7321</v>
      </c>
      <c r="P2086" t="s">
        <v>7322</v>
      </c>
      <c r="R2086" t="s">
        <v>964</v>
      </c>
      <c r="S2086" t="s">
        <v>36</v>
      </c>
      <c r="T2086" t="str">
        <f>"85043"</f>
        <v>85043</v>
      </c>
      <c r="U2086" t="str">
        <f>""</f>
        <v/>
      </c>
      <c r="V2086" t="s">
        <v>7322</v>
      </c>
      <c r="X2086" t="s">
        <v>964</v>
      </c>
      <c r="Y2086" t="s">
        <v>36</v>
      </c>
      <c r="Z2086" t="str">
        <f>"85043"</f>
        <v>85043</v>
      </c>
      <c r="AA2086" t="str">
        <f>""</f>
        <v/>
      </c>
      <c r="AB2086" t="s">
        <v>1466</v>
      </c>
    </row>
    <row r="2087" spans="1:28" x14ac:dyDescent="0.25">
      <c r="A2087">
        <v>88365</v>
      </c>
      <c r="B2087" t="str">
        <f>"078519000"</f>
        <v>078519000</v>
      </c>
      <c r="C2087" t="s">
        <v>7323</v>
      </c>
      <c r="D2087">
        <v>0</v>
      </c>
      <c r="E2087" t="str">
        <f>""</f>
        <v/>
      </c>
      <c r="G2087" t="s">
        <v>29</v>
      </c>
      <c r="H2087" t="s">
        <v>6179</v>
      </c>
      <c r="I2087" t="s">
        <v>6180</v>
      </c>
      <c r="J2087" t="s">
        <v>6181</v>
      </c>
      <c r="K2087" t="str">
        <f>"4805007059"</f>
        <v>4805007059</v>
      </c>
      <c r="L2087" t="str">
        <f>""</f>
        <v/>
      </c>
      <c r="M2087" t="str">
        <f>""</f>
        <v/>
      </c>
      <c r="N2087" t="str">
        <f>""</f>
        <v/>
      </c>
      <c r="O2087" t="s">
        <v>6182</v>
      </c>
      <c r="P2087" t="s">
        <v>6183</v>
      </c>
      <c r="R2087" t="s">
        <v>964</v>
      </c>
      <c r="S2087" t="s">
        <v>36</v>
      </c>
      <c r="T2087" t="str">
        <f t="shared" ref="T2087:T2094" si="311">"85035"</f>
        <v>85035</v>
      </c>
      <c r="U2087" t="str">
        <f>""</f>
        <v/>
      </c>
      <c r="V2087" t="s">
        <v>7324</v>
      </c>
      <c r="X2087" t="s">
        <v>964</v>
      </c>
      <c r="Y2087" t="s">
        <v>36</v>
      </c>
      <c r="Z2087" t="str">
        <f>"85015"</f>
        <v>85015</v>
      </c>
      <c r="AA2087" t="str">
        <f>""</f>
        <v/>
      </c>
      <c r="AB2087" t="s">
        <v>1166</v>
      </c>
    </row>
    <row r="2088" spans="1:28" x14ac:dyDescent="0.25">
      <c r="A2088">
        <v>88365</v>
      </c>
      <c r="B2088" t="str">
        <f>"078519000"</f>
        <v>078519000</v>
      </c>
      <c r="C2088" t="s">
        <v>7323</v>
      </c>
      <c r="D2088">
        <v>88366</v>
      </c>
      <c r="E2088" t="str">
        <f>"078519101"</f>
        <v>078519101</v>
      </c>
      <c r="F2088" t="s">
        <v>7325</v>
      </c>
      <c r="G2088" t="s">
        <v>42</v>
      </c>
      <c r="H2088" t="s">
        <v>752</v>
      </c>
      <c r="I2088" t="s">
        <v>7326</v>
      </c>
      <c r="J2088" t="s">
        <v>301</v>
      </c>
      <c r="K2088" t="str">
        <f>"6023444620"</f>
        <v>6023444620</v>
      </c>
      <c r="L2088" t="str">
        <f>"213"</f>
        <v>213</v>
      </c>
      <c r="M2088" t="str">
        <f>"6023444630"</f>
        <v>6023444630</v>
      </c>
      <c r="N2088" t="str">
        <f>""</f>
        <v/>
      </c>
      <c r="O2088" t="s">
        <v>7327</v>
      </c>
      <c r="P2088" t="s">
        <v>6183</v>
      </c>
      <c r="R2088" t="s">
        <v>964</v>
      </c>
      <c r="S2088" t="s">
        <v>36</v>
      </c>
      <c r="T2088" t="str">
        <f t="shared" si="311"/>
        <v>85035</v>
      </c>
      <c r="U2088" t="str">
        <f>""</f>
        <v/>
      </c>
      <c r="V2088" t="s">
        <v>7328</v>
      </c>
      <c r="X2088" t="s">
        <v>964</v>
      </c>
      <c r="Y2088" t="s">
        <v>36</v>
      </c>
      <c r="Z2088" t="str">
        <f>"85015"</f>
        <v>85015</v>
      </c>
      <c r="AA2088" t="str">
        <f>""</f>
        <v/>
      </c>
      <c r="AB2088" t="s">
        <v>1166</v>
      </c>
    </row>
    <row r="2089" spans="1:28" x14ac:dyDescent="0.25">
      <c r="A2089">
        <v>88367</v>
      </c>
      <c r="B2089" t="str">
        <f>"078520000"</f>
        <v>078520000</v>
      </c>
      <c r="C2089" t="s">
        <v>7329</v>
      </c>
      <c r="D2089">
        <v>0</v>
      </c>
      <c r="E2089" t="str">
        <f>""</f>
        <v/>
      </c>
      <c r="G2089" t="s">
        <v>29</v>
      </c>
      <c r="H2089" t="s">
        <v>6179</v>
      </c>
      <c r="I2089" t="s">
        <v>6180</v>
      </c>
      <c r="J2089" t="s">
        <v>6181</v>
      </c>
      <c r="K2089" t="str">
        <f>"4805007059"</f>
        <v>4805007059</v>
      </c>
      <c r="L2089" t="str">
        <f>""</f>
        <v/>
      </c>
      <c r="M2089" t="str">
        <f>""</f>
        <v/>
      </c>
      <c r="N2089" t="str">
        <f>""</f>
        <v/>
      </c>
      <c r="O2089" t="s">
        <v>6182</v>
      </c>
      <c r="P2089" t="s">
        <v>6183</v>
      </c>
      <c r="R2089" t="s">
        <v>964</v>
      </c>
      <c r="S2089" t="s">
        <v>36</v>
      </c>
      <c r="T2089" t="str">
        <f t="shared" si="311"/>
        <v>85035</v>
      </c>
      <c r="U2089" t="str">
        <f>""</f>
        <v/>
      </c>
      <c r="V2089" t="s">
        <v>6183</v>
      </c>
      <c r="X2089" t="s">
        <v>964</v>
      </c>
      <c r="Y2089" t="s">
        <v>36</v>
      </c>
      <c r="Z2089" t="str">
        <f>"85035"</f>
        <v>85035</v>
      </c>
      <c r="AA2089" t="str">
        <f>""</f>
        <v/>
      </c>
      <c r="AB2089" t="s">
        <v>1166</v>
      </c>
    </row>
    <row r="2090" spans="1:28" x14ac:dyDescent="0.25">
      <c r="A2090">
        <v>88367</v>
      </c>
      <c r="B2090" t="str">
        <f>"078520000"</f>
        <v>078520000</v>
      </c>
      <c r="C2090" t="s">
        <v>7329</v>
      </c>
      <c r="D2090">
        <v>88368</v>
      </c>
      <c r="E2090" t="str">
        <f>"078520101"</f>
        <v>078520101</v>
      </c>
      <c r="F2090" t="s">
        <v>7330</v>
      </c>
      <c r="G2090" t="s">
        <v>42</v>
      </c>
      <c r="H2090" t="s">
        <v>1694</v>
      </c>
      <c r="I2090" t="s">
        <v>7331</v>
      </c>
      <c r="J2090" t="s">
        <v>301</v>
      </c>
      <c r="K2090" t="str">
        <f>"6233447150"</f>
        <v>6233447150</v>
      </c>
      <c r="L2090" t="str">
        <f>""</f>
        <v/>
      </c>
      <c r="M2090" t="str">
        <f>"6233447160"</f>
        <v>6233447160</v>
      </c>
      <c r="N2090" t="str">
        <f>""</f>
        <v/>
      </c>
      <c r="O2090" t="s">
        <v>7332</v>
      </c>
      <c r="P2090" t="s">
        <v>7333</v>
      </c>
      <c r="R2090" t="s">
        <v>964</v>
      </c>
      <c r="S2090" t="s">
        <v>36</v>
      </c>
      <c r="T2090" t="str">
        <f t="shared" si="311"/>
        <v>85035</v>
      </c>
      <c r="U2090" t="str">
        <f>""</f>
        <v/>
      </c>
      <c r="V2090" t="s">
        <v>7333</v>
      </c>
      <c r="X2090" t="s">
        <v>964</v>
      </c>
      <c r="Y2090" t="s">
        <v>36</v>
      </c>
      <c r="Z2090" t="str">
        <f>"85035"</f>
        <v>85035</v>
      </c>
      <c r="AA2090" t="str">
        <f>""</f>
        <v/>
      </c>
      <c r="AB2090" t="s">
        <v>1166</v>
      </c>
    </row>
    <row r="2091" spans="1:28" x14ac:dyDescent="0.25">
      <c r="A2091">
        <v>88369</v>
      </c>
      <c r="B2091" t="str">
        <f>"078521000"</f>
        <v>078521000</v>
      </c>
      <c r="C2091" t="s">
        <v>7334</v>
      </c>
      <c r="D2091">
        <v>0</v>
      </c>
      <c r="E2091" t="str">
        <f>""</f>
        <v/>
      </c>
      <c r="G2091" t="s">
        <v>29</v>
      </c>
      <c r="H2091" t="s">
        <v>6179</v>
      </c>
      <c r="I2091" t="s">
        <v>6180</v>
      </c>
      <c r="J2091" t="s">
        <v>6181</v>
      </c>
      <c r="K2091" t="str">
        <f>"4805007059"</f>
        <v>4805007059</v>
      </c>
      <c r="L2091" t="str">
        <f>""</f>
        <v/>
      </c>
      <c r="M2091" t="str">
        <f>""</f>
        <v/>
      </c>
      <c r="N2091" t="str">
        <f>""</f>
        <v/>
      </c>
      <c r="O2091" t="s">
        <v>6182</v>
      </c>
      <c r="P2091" t="s">
        <v>6183</v>
      </c>
      <c r="R2091" t="s">
        <v>964</v>
      </c>
      <c r="S2091" t="s">
        <v>36</v>
      </c>
      <c r="T2091" t="str">
        <f t="shared" si="311"/>
        <v>85035</v>
      </c>
      <c r="U2091" t="str">
        <f>""</f>
        <v/>
      </c>
      <c r="V2091" t="s">
        <v>7253</v>
      </c>
      <c r="X2091" t="s">
        <v>979</v>
      </c>
      <c r="Y2091" t="s">
        <v>36</v>
      </c>
      <c r="Z2091" t="str">
        <f>"85209"</f>
        <v>85209</v>
      </c>
      <c r="AA2091" t="str">
        <f>""</f>
        <v/>
      </c>
      <c r="AB2091" t="s">
        <v>1166</v>
      </c>
    </row>
    <row r="2092" spans="1:28" x14ac:dyDescent="0.25">
      <c r="A2092">
        <v>88369</v>
      </c>
      <c r="B2092" t="str">
        <f>"078521000"</f>
        <v>078521000</v>
      </c>
      <c r="C2092" t="s">
        <v>7334</v>
      </c>
      <c r="D2092">
        <v>88370</v>
      </c>
      <c r="E2092" t="str">
        <f>"078521001"</f>
        <v>078521001</v>
      </c>
      <c r="F2092" t="s">
        <v>7335</v>
      </c>
      <c r="G2092" t="s">
        <v>42</v>
      </c>
      <c r="H2092" t="s">
        <v>1318</v>
      </c>
      <c r="I2092" t="s">
        <v>7255</v>
      </c>
      <c r="J2092" t="s">
        <v>7256</v>
      </c>
      <c r="K2092" t="str">
        <f>"4803556830"</f>
        <v>4803556830</v>
      </c>
      <c r="L2092" t="str">
        <f>"226"</f>
        <v>226</v>
      </c>
      <c r="M2092" t="str">
        <f>"4803556840"</f>
        <v>4803556840</v>
      </c>
      <c r="N2092" t="str">
        <f>""</f>
        <v/>
      </c>
      <c r="O2092" t="s">
        <v>7257</v>
      </c>
      <c r="P2092" t="s">
        <v>6183</v>
      </c>
      <c r="R2092" t="s">
        <v>964</v>
      </c>
      <c r="S2092" t="s">
        <v>36</v>
      </c>
      <c r="T2092" t="str">
        <f t="shared" si="311"/>
        <v>85035</v>
      </c>
      <c r="U2092" t="str">
        <f>""</f>
        <v/>
      </c>
      <c r="V2092" t="s">
        <v>7336</v>
      </c>
      <c r="X2092" t="s">
        <v>979</v>
      </c>
      <c r="Y2092" t="s">
        <v>36</v>
      </c>
      <c r="Z2092" t="str">
        <f>"85209"</f>
        <v>85209</v>
      </c>
      <c r="AA2092" t="str">
        <f>""</f>
        <v/>
      </c>
      <c r="AB2092" t="s">
        <v>1166</v>
      </c>
    </row>
    <row r="2093" spans="1:28" x14ac:dyDescent="0.25">
      <c r="A2093">
        <v>88372</v>
      </c>
      <c r="B2093" t="str">
        <f>"078522000"</f>
        <v>078522000</v>
      </c>
      <c r="C2093" t="s">
        <v>7337</v>
      </c>
      <c r="D2093">
        <v>0</v>
      </c>
      <c r="E2093" t="str">
        <f>""</f>
        <v/>
      </c>
      <c r="G2093" t="s">
        <v>29</v>
      </c>
      <c r="H2093" t="s">
        <v>6179</v>
      </c>
      <c r="I2093" t="s">
        <v>6180</v>
      </c>
      <c r="J2093" t="s">
        <v>6181</v>
      </c>
      <c r="K2093" t="str">
        <f>"4805007059"</f>
        <v>4805007059</v>
      </c>
      <c r="L2093" t="str">
        <f>""</f>
        <v/>
      </c>
      <c r="M2093" t="str">
        <f>""</f>
        <v/>
      </c>
      <c r="N2093" t="str">
        <f>""</f>
        <v/>
      </c>
      <c r="O2093" t="s">
        <v>6182</v>
      </c>
      <c r="P2093" t="s">
        <v>6183</v>
      </c>
      <c r="R2093" t="s">
        <v>964</v>
      </c>
      <c r="S2093" t="s">
        <v>36</v>
      </c>
      <c r="T2093" t="str">
        <f t="shared" si="311"/>
        <v>85035</v>
      </c>
      <c r="U2093" t="str">
        <f>""</f>
        <v/>
      </c>
      <c r="V2093" t="s">
        <v>7338</v>
      </c>
      <c r="X2093" t="s">
        <v>1806</v>
      </c>
      <c r="Y2093" t="s">
        <v>36</v>
      </c>
      <c r="Z2093" t="str">
        <f>"85379"</f>
        <v>85379</v>
      </c>
      <c r="AA2093" t="str">
        <f>""</f>
        <v/>
      </c>
      <c r="AB2093" t="s">
        <v>1166</v>
      </c>
    </row>
    <row r="2094" spans="1:28" x14ac:dyDescent="0.25">
      <c r="A2094">
        <v>88372</v>
      </c>
      <c r="B2094" t="str">
        <f>"078522000"</f>
        <v>078522000</v>
      </c>
      <c r="C2094" t="s">
        <v>7337</v>
      </c>
      <c r="D2094">
        <v>88373</v>
      </c>
      <c r="E2094" t="str">
        <f>"078522101"</f>
        <v>078522101</v>
      </c>
      <c r="F2094" t="s">
        <v>7339</v>
      </c>
      <c r="G2094" t="s">
        <v>42</v>
      </c>
      <c r="H2094" t="s">
        <v>7340</v>
      </c>
      <c r="I2094" t="s">
        <v>6481</v>
      </c>
      <c r="J2094" t="s">
        <v>301</v>
      </c>
      <c r="K2094" t="str">
        <f>"6233441770"</f>
        <v>6233441770</v>
      </c>
      <c r="L2094" t="str">
        <f>""</f>
        <v/>
      </c>
      <c r="M2094" t="str">
        <f>"6233441780"</f>
        <v>6233441780</v>
      </c>
      <c r="N2094" t="str">
        <f>""</f>
        <v/>
      </c>
      <c r="O2094" t="s">
        <v>7341</v>
      </c>
      <c r="P2094" t="s">
        <v>6183</v>
      </c>
      <c r="R2094" t="s">
        <v>964</v>
      </c>
      <c r="S2094" t="s">
        <v>36</v>
      </c>
      <c r="T2094" t="str">
        <f t="shared" si="311"/>
        <v>85035</v>
      </c>
      <c r="U2094" t="str">
        <f>""</f>
        <v/>
      </c>
      <c r="V2094" t="s">
        <v>7342</v>
      </c>
      <c r="X2094" t="s">
        <v>1806</v>
      </c>
      <c r="Y2094" t="s">
        <v>36</v>
      </c>
      <c r="Z2094" t="str">
        <f>"85379"</f>
        <v>85379</v>
      </c>
      <c r="AA2094" t="str">
        <f>""</f>
        <v/>
      </c>
      <c r="AB2094" t="s">
        <v>1166</v>
      </c>
    </row>
    <row r="2095" spans="1:28" x14ac:dyDescent="0.25">
      <c r="A2095">
        <v>88412</v>
      </c>
      <c r="B2095" t="str">
        <f>"072034000"</f>
        <v>072034000</v>
      </c>
      <c r="C2095" t="s">
        <v>7343</v>
      </c>
      <c r="D2095">
        <v>0</v>
      </c>
      <c r="E2095" t="str">
        <f>""</f>
        <v/>
      </c>
      <c r="G2095" t="s">
        <v>29</v>
      </c>
      <c r="H2095" t="s">
        <v>360</v>
      </c>
      <c r="I2095" t="s">
        <v>7344</v>
      </c>
      <c r="J2095" t="s">
        <v>486</v>
      </c>
      <c r="K2095" t="str">
        <f>"6022441451"</f>
        <v>6022441451</v>
      </c>
      <c r="L2095" t="str">
        <f>""</f>
        <v/>
      </c>
      <c r="M2095" t="str">
        <f>"6022860250"</f>
        <v>6022860250</v>
      </c>
      <c r="N2095" t="str">
        <f>""</f>
        <v/>
      </c>
      <c r="O2095" t="s">
        <v>7345</v>
      </c>
      <c r="P2095" t="s">
        <v>7346</v>
      </c>
      <c r="R2095" t="s">
        <v>964</v>
      </c>
      <c r="S2095" t="s">
        <v>36</v>
      </c>
      <c r="T2095" t="str">
        <f>"85006"</f>
        <v>85006</v>
      </c>
      <c r="U2095" t="str">
        <f>"2413"</f>
        <v>2413</v>
      </c>
      <c r="V2095" t="s">
        <v>7346</v>
      </c>
      <c r="X2095" t="s">
        <v>964</v>
      </c>
      <c r="Y2095" t="s">
        <v>36</v>
      </c>
      <c r="Z2095" t="str">
        <f>"85006"</f>
        <v>85006</v>
      </c>
      <c r="AA2095" t="str">
        <f>"2413"</f>
        <v>2413</v>
      </c>
      <c r="AB2095" t="s">
        <v>265</v>
      </c>
    </row>
    <row r="2096" spans="1:28" x14ac:dyDescent="0.25">
      <c r="A2096">
        <v>88412</v>
      </c>
      <c r="B2096" t="str">
        <f>"072034000"</f>
        <v>072034000</v>
      </c>
      <c r="C2096" t="s">
        <v>7343</v>
      </c>
      <c r="D2096">
        <v>88413</v>
      </c>
      <c r="E2096" t="str">
        <f>"072034101"</f>
        <v>072034101</v>
      </c>
      <c r="F2096" t="s">
        <v>7343</v>
      </c>
      <c r="G2096" t="s">
        <v>42</v>
      </c>
      <c r="H2096" t="s">
        <v>5330</v>
      </c>
      <c r="I2096" t="s">
        <v>7347</v>
      </c>
      <c r="J2096" t="s">
        <v>6345</v>
      </c>
      <c r="K2096" t="str">
        <f>"6022441451"</f>
        <v>6022441451</v>
      </c>
      <c r="L2096" t="str">
        <f>""</f>
        <v/>
      </c>
      <c r="M2096" t="str">
        <f>"6022860250"</f>
        <v>6022860250</v>
      </c>
      <c r="N2096" t="str">
        <f>""</f>
        <v/>
      </c>
      <c r="O2096" t="s">
        <v>7348</v>
      </c>
      <c r="P2096" t="s">
        <v>7349</v>
      </c>
      <c r="R2096" t="s">
        <v>964</v>
      </c>
      <c r="S2096" t="s">
        <v>36</v>
      </c>
      <c r="T2096" t="str">
        <f>"85006"</f>
        <v>85006</v>
      </c>
      <c r="U2096" t="str">
        <f>""</f>
        <v/>
      </c>
      <c r="V2096" t="s">
        <v>7349</v>
      </c>
      <c r="X2096" t="s">
        <v>964</v>
      </c>
      <c r="Y2096" t="s">
        <v>36</v>
      </c>
      <c r="Z2096" t="str">
        <f>"85006"</f>
        <v>85006</v>
      </c>
      <c r="AA2096" t="str">
        <f>""</f>
        <v/>
      </c>
      <c r="AB2096" t="s">
        <v>265</v>
      </c>
    </row>
    <row r="2097" spans="1:28" x14ac:dyDescent="0.25">
      <c r="A2097">
        <v>88447</v>
      </c>
      <c r="B2097" t="str">
        <f>"099101000"</f>
        <v>099101000</v>
      </c>
      <c r="C2097" t="s">
        <v>7350</v>
      </c>
      <c r="D2097">
        <v>0</v>
      </c>
      <c r="E2097" t="str">
        <f>""</f>
        <v/>
      </c>
      <c r="G2097" t="s">
        <v>29</v>
      </c>
      <c r="H2097" t="s">
        <v>7351</v>
      </c>
      <c r="I2097" t="s">
        <v>7352</v>
      </c>
      <c r="J2097" t="s">
        <v>7353</v>
      </c>
      <c r="K2097" t="str">
        <f>"9287342468"</f>
        <v>9287342468</v>
      </c>
      <c r="L2097" t="str">
        <f>""</f>
        <v/>
      </c>
      <c r="M2097" t="str">
        <f>"9287342470"</f>
        <v>9287342470</v>
      </c>
      <c r="N2097" t="str">
        <f>""</f>
        <v/>
      </c>
      <c r="O2097" t="s">
        <v>7354</v>
      </c>
      <c r="P2097" t="s">
        <v>7355</v>
      </c>
      <c r="R2097" t="s">
        <v>6085</v>
      </c>
      <c r="S2097" t="s">
        <v>36</v>
      </c>
      <c r="T2097" t="str">
        <f>"86039"</f>
        <v>86039</v>
      </c>
      <c r="U2097" t="str">
        <f>""</f>
        <v/>
      </c>
      <c r="V2097" t="s">
        <v>7356</v>
      </c>
      <c r="X2097" t="s">
        <v>6085</v>
      </c>
      <c r="Y2097" t="s">
        <v>36</v>
      </c>
      <c r="Z2097" t="str">
        <f>"86039"</f>
        <v>86039</v>
      </c>
      <c r="AA2097" t="str">
        <f>""</f>
        <v/>
      </c>
      <c r="AB2097" t="s">
        <v>56</v>
      </c>
    </row>
    <row r="2098" spans="1:28" x14ac:dyDescent="0.25">
      <c r="A2098">
        <v>88447</v>
      </c>
      <c r="B2098" t="str">
        <f>"099101000"</f>
        <v>099101000</v>
      </c>
      <c r="C2098" t="s">
        <v>7350</v>
      </c>
      <c r="D2098">
        <v>80287</v>
      </c>
      <c r="E2098" t="str">
        <f>"093906005"</f>
        <v>093906005</v>
      </c>
      <c r="F2098" t="s">
        <v>7350</v>
      </c>
      <c r="G2098" t="s">
        <v>42</v>
      </c>
      <c r="H2098" t="s">
        <v>7357</v>
      </c>
      <c r="I2098" t="s">
        <v>7358</v>
      </c>
      <c r="J2098" t="s">
        <v>4581</v>
      </c>
      <c r="K2098" t="str">
        <f>"9287342468"</f>
        <v>9287342468</v>
      </c>
      <c r="L2098" t="str">
        <f>""</f>
        <v/>
      </c>
      <c r="M2098" t="str">
        <f>"9287342470"</f>
        <v>9287342470</v>
      </c>
      <c r="N2098" t="str">
        <f>""</f>
        <v/>
      </c>
      <c r="O2098" t="s">
        <v>7359</v>
      </c>
      <c r="P2098" t="s">
        <v>7355</v>
      </c>
      <c r="R2098" t="s">
        <v>7360</v>
      </c>
      <c r="S2098" t="s">
        <v>36</v>
      </c>
      <c r="T2098" t="str">
        <f>"86039"</f>
        <v>86039</v>
      </c>
      <c r="U2098" t="str">
        <f>""</f>
        <v/>
      </c>
      <c r="V2098" t="s">
        <v>7356</v>
      </c>
      <c r="X2098" t="s">
        <v>6085</v>
      </c>
      <c r="Y2098" t="s">
        <v>36</v>
      </c>
      <c r="Z2098" t="str">
        <f>"86039"</f>
        <v>86039</v>
      </c>
      <c r="AA2098" t="str">
        <f>""</f>
        <v/>
      </c>
      <c r="AB2098" t="s">
        <v>56</v>
      </c>
    </row>
    <row r="2099" spans="1:28" x14ac:dyDescent="0.25">
      <c r="A2099">
        <v>88448</v>
      </c>
      <c r="B2099" t="str">
        <f>"099102000"</f>
        <v>099102000</v>
      </c>
      <c r="C2099" t="s">
        <v>7361</v>
      </c>
      <c r="D2099">
        <v>0</v>
      </c>
      <c r="E2099" t="str">
        <f>""</f>
        <v/>
      </c>
      <c r="G2099" t="s">
        <v>29</v>
      </c>
      <c r="H2099" t="s">
        <v>7362</v>
      </c>
      <c r="I2099" t="s">
        <v>7363</v>
      </c>
      <c r="J2099" t="s">
        <v>195</v>
      </c>
      <c r="K2099" t="str">
        <f>"9287372871"</f>
        <v>9287372871</v>
      </c>
      <c r="L2099" t="str">
        <f>"4113"</f>
        <v>4113</v>
      </c>
      <c r="M2099" t="str">
        <f>"9287372565"</f>
        <v>9287372565</v>
      </c>
      <c r="N2099" t="str">
        <f>""</f>
        <v/>
      </c>
      <c r="O2099" t="s">
        <v>7364</v>
      </c>
      <c r="P2099" t="s">
        <v>7365</v>
      </c>
      <c r="R2099" t="s">
        <v>7366</v>
      </c>
      <c r="S2099" t="s">
        <v>36</v>
      </c>
      <c r="T2099" t="str">
        <f>"86043"</f>
        <v>86043</v>
      </c>
      <c r="U2099" t="str">
        <f>""</f>
        <v/>
      </c>
      <c r="V2099" t="s">
        <v>7367</v>
      </c>
      <c r="X2099" t="s">
        <v>7366</v>
      </c>
      <c r="Y2099" t="s">
        <v>36</v>
      </c>
      <c r="Z2099" t="str">
        <f>"86043"</f>
        <v>86043</v>
      </c>
      <c r="AA2099" t="str">
        <f>""</f>
        <v/>
      </c>
      <c r="AB2099" t="s">
        <v>632</v>
      </c>
    </row>
    <row r="2100" spans="1:28" x14ac:dyDescent="0.25">
      <c r="A2100">
        <v>88448</v>
      </c>
      <c r="B2100" t="str">
        <f>"099102000"</f>
        <v>099102000</v>
      </c>
      <c r="C2100" t="s">
        <v>7361</v>
      </c>
      <c r="D2100">
        <v>80161</v>
      </c>
      <c r="E2100" t="str">
        <f>"093906003"</f>
        <v>093906003</v>
      </c>
      <c r="F2100" t="s">
        <v>7368</v>
      </c>
      <c r="G2100" t="s">
        <v>42</v>
      </c>
      <c r="H2100" t="s">
        <v>7362</v>
      </c>
      <c r="I2100" t="s">
        <v>7363</v>
      </c>
      <c r="J2100" t="s">
        <v>7369</v>
      </c>
      <c r="K2100" t="str">
        <f>"9287372571"</f>
        <v>9287372571</v>
      </c>
      <c r="L2100" t="str">
        <f>"4113"</f>
        <v>4113</v>
      </c>
      <c r="M2100" t="str">
        <f>"9287372565"</f>
        <v>9287372565</v>
      </c>
      <c r="N2100" t="str">
        <f>""</f>
        <v/>
      </c>
      <c r="O2100" t="s">
        <v>7364</v>
      </c>
      <c r="P2100" t="s">
        <v>7365</v>
      </c>
      <c r="R2100" t="s">
        <v>7366</v>
      </c>
      <c r="S2100" t="s">
        <v>36</v>
      </c>
      <c r="T2100" t="str">
        <f>"86043"</f>
        <v>86043</v>
      </c>
      <c r="U2100" t="str">
        <f>""</f>
        <v/>
      </c>
      <c r="V2100" t="s">
        <v>7367</v>
      </c>
      <c r="X2100" t="s">
        <v>7366</v>
      </c>
      <c r="Y2100" t="s">
        <v>36</v>
      </c>
      <c r="Z2100" t="str">
        <f>"86043"</f>
        <v>86043</v>
      </c>
      <c r="AA2100" t="str">
        <f>""</f>
        <v/>
      </c>
      <c r="AB2100" t="s">
        <v>632</v>
      </c>
    </row>
    <row r="2101" spans="1:28" x14ac:dyDescent="0.25">
      <c r="A2101">
        <v>88449</v>
      </c>
      <c r="B2101" t="str">
        <f>"099103000"</f>
        <v>099103000</v>
      </c>
      <c r="C2101" t="s">
        <v>7370</v>
      </c>
      <c r="D2101">
        <v>0</v>
      </c>
      <c r="E2101" t="str">
        <f>""</f>
        <v/>
      </c>
      <c r="G2101" t="s">
        <v>29</v>
      </c>
      <c r="H2101" t="s">
        <v>7371</v>
      </c>
      <c r="I2101" t="s">
        <v>7372</v>
      </c>
      <c r="J2101" t="s">
        <v>7373</v>
      </c>
      <c r="K2101" t="str">
        <f>"9287381432"</f>
        <v>9287381432</v>
      </c>
      <c r="L2101" t="str">
        <f>""</f>
        <v/>
      </c>
      <c r="M2101" t="str">
        <f>"9287385333"</f>
        <v>9287385333</v>
      </c>
      <c r="N2101" t="str">
        <f>""</f>
        <v/>
      </c>
      <c r="O2101" t="s">
        <v>7374</v>
      </c>
      <c r="P2101" t="s">
        <v>7375</v>
      </c>
      <c r="Q2101" t="s">
        <v>4136</v>
      </c>
      <c r="R2101" t="s">
        <v>4128</v>
      </c>
      <c r="S2101" t="s">
        <v>36</v>
      </c>
      <c r="T2101" t="str">
        <f>"86034"</f>
        <v>86034</v>
      </c>
      <c r="U2101" t="str">
        <f>"0337"</f>
        <v>0337</v>
      </c>
      <c r="V2101" t="s">
        <v>7375</v>
      </c>
      <c r="W2101" t="s">
        <v>7376</v>
      </c>
      <c r="X2101" t="s">
        <v>4128</v>
      </c>
      <c r="Y2101" t="s">
        <v>36</v>
      </c>
      <c r="Z2101" t="str">
        <f>"86034"</f>
        <v>86034</v>
      </c>
      <c r="AA2101" t="str">
        <f>"0337"</f>
        <v>0337</v>
      </c>
      <c r="AB2101" t="s">
        <v>265</v>
      </c>
    </row>
    <row r="2102" spans="1:28" x14ac:dyDescent="0.25">
      <c r="A2102">
        <v>88449</v>
      </c>
      <c r="B2102" t="str">
        <f>"099103000"</f>
        <v>099103000</v>
      </c>
      <c r="C2102" t="s">
        <v>7370</v>
      </c>
      <c r="D2102">
        <v>87950</v>
      </c>
      <c r="E2102" t="str">
        <f>"093906002"</f>
        <v>093906002</v>
      </c>
      <c r="F2102" t="s">
        <v>7377</v>
      </c>
      <c r="G2102" t="s">
        <v>42</v>
      </c>
      <c r="H2102" t="s">
        <v>7371</v>
      </c>
      <c r="I2102" t="s">
        <v>7372</v>
      </c>
      <c r="J2102" t="s">
        <v>315</v>
      </c>
      <c r="K2102" t="str">
        <f>"9287381432"</f>
        <v>9287381432</v>
      </c>
      <c r="L2102" t="str">
        <f>""</f>
        <v/>
      </c>
      <c r="M2102" t="str">
        <f>"9287385333"</f>
        <v>9287385333</v>
      </c>
      <c r="N2102" t="str">
        <f>""</f>
        <v/>
      </c>
      <c r="O2102" t="s">
        <v>7374</v>
      </c>
      <c r="P2102" t="s">
        <v>7375</v>
      </c>
      <c r="Q2102" t="s">
        <v>4136</v>
      </c>
      <c r="R2102" t="s">
        <v>4128</v>
      </c>
      <c r="S2102" t="s">
        <v>36</v>
      </c>
      <c r="T2102" t="str">
        <f>"86034"</f>
        <v>86034</v>
      </c>
      <c r="U2102" t="str">
        <f>""</f>
        <v/>
      </c>
      <c r="V2102" t="s">
        <v>7375</v>
      </c>
      <c r="W2102" t="s">
        <v>7378</v>
      </c>
      <c r="X2102" t="s">
        <v>4128</v>
      </c>
      <c r="Y2102" t="s">
        <v>36</v>
      </c>
      <c r="Z2102" t="str">
        <f>"86034"</f>
        <v>86034</v>
      </c>
      <c r="AA2102" t="str">
        <f>"0337"</f>
        <v>0337</v>
      </c>
      <c r="AB2102" t="s">
        <v>265</v>
      </c>
    </row>
    <row r="2103" spans="1:28" x14ac:dyDescent="0.25">
      <c r="A2103">
        <v>88452</v>
      </c>
      <c r="B2103" t="str">
        <f>"099104000"</f>
        <v>099104000</v>
      </c>
      <c r="C2103" t="s">
        <v>7379</v>
      </c>
      <c r="D2103">
        <v>0</v>
      </c>
      <c r="E2103" t="str">
        <f>""</f>
        <v/>
      </c>
      <c r="G2103" t="s">
        <v>29</v>
      </c>
      <c r="H2103" t="s">
        <v>6690</v>
      </c>
      <c r="I2103" t="s">
        <v>7380</v>
      </c>
      <c r="J2103" t="s">
        <v>195</v>
      </c>
      <c r="K2103" t="str">
        <f>"9287372581"</f>
        <v>9287372581</v>
      </c>
      <c r="L2103" t="str">
        <f>"607"</f>
        <v>607</v>
      </c>
      <c r="M2103" t="str">
        <f>"9287372323"</f>
        <v>9287372323</v>
      </c>
      <c r="N2103" t="str">
        <f>""</f>
        <v/>
      </c>
      <c r="O2103" t="s">
        <v>7381</v>
      </c>
      <c r="P2103" t="s">
        <v>7382</v>
      </c>
      <c r="R2103" t="s">
        <v>7383</v>
      </c>
      <c r="S2103" t="s">
        <v>36</v>
      </c>
      <c r="T2103" t="str">
        <f>"86042"</f>
        <v>86042</v>
      </c>
      <c r="U2103" t="str">
        <f>""</f>
        <v/>
      </c>
      <c r="V2103" t="s">
        <v>7384</v>
      </c>
      <c r="X2103" t="s">
        <v>7383</v>
      </c>
      <c r="Y2103" t="s">
        <v>36</v>
      </c>
      <c r="Z2103" t="str">
        <f>"86042"</f>
        <v>86042</v>
      </c>
      <c r="AA2103" t="str">
        <f>""</f>
        <v/>
      </c>
      <c r="AB2103" t="s">
        <v>124</v>
      </c>
    </row>
    <row r="2104" spans="1:28" x14ac:dyDescent="0.25">
      <c r="A2104">
        <v>88452</v>
      </c>
      <c r="B2104" t="str">
        <f>"099104000"</f>
        <v>099104000</v>
      </c>
      <c r="C2104" t="s">
        <v>7379</v>
      </c>
      <c r="D2104">
        <v>80145</v>
      </c>
      <c r="E2104" t="str">
        <f>"093906004"</f>
        <v>093906004</v>
      </c>
      <c r="F2104" t="s">
        <v>7385</v>
      </c>
      <c r="G2104" t="s">
        <v>42</v>
      </c>
      <c r="H2104" t="s">
        <v>6690</v>
      </c>
      <c r="I2104" t="s">
        <v>7380</v>
      </c>
      <c r="J2104" t="s">
        <v>7386</v>
      </c>
      <c r="K2104" t="str">
        <f>"9287372581"</f>
        <v>9287372581</v>
      </c>
      <c r="L2104" t="str">
        <f>"607"</f>
        <v>607</v>
      </c>
      <c r="M2104" t="str">
        <f>"9287372323"</f>
        <v>9287372323</v>
      </c>
      <c r="N2104" t="str">
        <f>""</f>
        <v/>
      </c>
      <c r="O2104" t="s">
        <v>7381</v>
      </c>
      <c r="P2104" t="s">
        <v>7382</v>
      </c>
      <c r="R2104" t="s">
        <v>7383</v>
      </c>
      <c r="S2104" t="s">
        <v>36</v>
      </c>
      <c r="T2104" t="str">
        <f>"86042"</f>
        <v>86042</v>
      </c>
      <c r="U2104" t="str">
        <f>""</f>
        <v/>
      </c>
      <c r="V2104" t="s">
        <v>7384</v>
      </c>
      <c r="X2104" t="s">
        <v>7383</v>
      </c>
      <c r="Y2104" t="s">
        <v>36</v>
      </c>
      <c r="Z2104" t="str">
        <f>"86042"</f>
        <v>86042</v>
      </c>
      <c r="AA2104" t="str">
        <f>""</f>
        <v/>
      </c>
      <c r="AB2104" t="s">
        <v>124</v>
      </c>
    </row>
    <row r="2105" spans="1:28" x14ac:dyDescent="0.25">
      <c r="A2105">
        <v>88453</v>
      </c>
      <c r="B2105" t="str">
        <f>"099106000"</f>
        <v>099106000</v>
      </c>
      <c r="C2105" t="s">
        <v>7387</v>
      </c>
      <c r="D2105">
        <v>0</v>
      </c>
      <c r="E2105" t="str">
        <f>""</f>
        <v/>
      </c>
      <c r="G2105" t="s">
        <v>29</v>
      </c>
      <c r="H2105" t="s">
        <v>7326</v>
      </c>
      <c r="I2105" t="s">
        <v>7388</v>
      </c>
      <c r="J2105" t="s">
        <v>195</v>
      </c>
      <c r="K2105" t="str">
        <f>"9287342462"</f>
        <v>9287342462</v>
      </c>
      <c r="L2105" t="str">
        <f>"1006"</f>
        <v>1006</v>
      </c>
      <c r="M2105" t="str">
        <f>""</f>
        <v/>
      </c>
      <c r="N2105" t="str">
        <f>""</f>
        <v/>
      </c>
      <c r="O2105" t="s">
        <v>7389</v>
      </c>
      <c r="P2105" t="s">
        <v>7390</v>
      </c>
      <c r="R2105" t="s">
        <v>7391</v>
      </c>
      <c r="S2105" t="s">
        <v>36</v>
      </c>
      <c r="T2105" t="str">
        <f>"86030"</f>
        <v>86030</v>
      </c>
      <c r="U2105" t="str">
        <f>""</f>
        <v/>
      </c>
      <c r="V2105" t="s">
        <v>7392</v>
      </c>
      <c r="W2105" t="s">
        <v>7393</v>
      </c>
      <c r="X2105" t="s">
        <v>7391</v>
      </c>
      <c r="Y2105" t="s">
        <v>36</v>
      </c>
      <c r="Z2105" t="str">
        <f>"86030"</f>
        <v>86030</v>
      </c>
      <c r="AA2105" t="str">
        <f>""</f>
        <v/>
      </c>
      <c r="AB2105" t="s">
        <v>124</v>
      </c>
    </row>
    <row r="2106" spans="1:28" x14ac:dyDescent="0.25">
      <c r="A2106">
        <v>88453</v>
      </c>
      <c r="B2106" t="str">
        <f>"099106000"</f>
        <v>099106000</v>
      </c>
      <c r="C2106" t="s">
        <v>7387</v>
      </c>
      <c r="D2106">
        <v>79662</v>
      </c>
      <c r="E2106" t="str">
        <f>"093906006"</f>
        <v>093906006</v>
      </c>
      <c r="F2106" t="s">
        <v>7387</v>
      </c>
      <c r="G2106" t="s">
        <v>42</v>
      </c>
      <c r="H2106" t="s">
        <v>7326</v>
      </c>
      <c r="I2106" t="s">
        <v>7388</v>
      </c>
      <c r="J2106" t="s">
        <v>195</v>
      </c>
      <c r="K2106" t="str">
        <f>"9287342462"</f>
        <v>9287342462</v>
      </c>
      <c r="L2106" t="str">
        <f>"1006"</f>
        <v>1006</v>
      </c>
      <c r="M2106" t="str">
        <f>""</f>
        <v/>
      </c>
      <c r="N2106" t="str">
        <f>""</f>
        <v/>
      </c>
      <c r="O2106" t="s">
        <v>7389</v>
      </c>
      <c r="P2106" t="s">
        <v>7394</v>
      </c>
      <c r="R2106" t="s">
        <v>7395</v>
      </c>
      <c r="S2106" t="s">
        <v>36</v>
      </c>
      <c r="T2106" t="str">
        <f>"86030"</f>
        <v>86030</v>
      </c>
      <c r="U2106" t="str">
        <f>""</f>
        <v/>
      </c>
      <c r="V2106" t="s">
        <v>7396</v>
      </c>
      <c r="X2106" t="s">
        <v>7395</v>
      </c>
      <c r="Y2106" t="s">
        <v>36</v>
      </c>
      <c r="Z2106" t="str">
        <f>"86030"</f>
        <v>86030</v>
      </c>
      <c r="AA2106" t="str">
        <f>""</f>
        <v/>
      </c>
      <c r="AB2106" t="s">
        <v>124</v>
      </c>
    </row>
    <row r="2107" spans="1:28" x14ac:dyDescent="0.25">
      <c r="A2107">
        <v>88454</v>
      </c>
      <c r="B2107" t="str">
        <f>"099107000"</f>
        <v>099107000</v>
      </c>
      <c r="C2107" t="s">
        <v>3801</v>
      </c>
      <c r="D2107">
        <v>0</v>
      </c>
      <c r="E2107" t="str">
        <f>""</f>
        <v/>
      </c>
      <c r="G2107" t="s">
        <v>29</v>
      </c>
      <c r="H2107" t="s">
        <v>7397</v>
      </c>
      <c r="I2107" t="s">
        <v>7398</v>
      </c>
      <c r="J2107" t="s">
        <v>486</v>
      </c>
      <c r="K2107" t="str">
        <f>"9284482901"</f>
        <v>9284482901</v>
      </c>
      <c r="L2107" t="str">
        <f>""</f>
        <v/>
      </c>
      <c r="M2107" t="str">
        <f>"9284482108"</f>
        <v>9284482108</v>
      </c>
      <c r="N2107" t="str">
        <f>""</f>
        <v/>
      </c>
      <c r="O2107" t="s">
        <v>7399</v>
      </c>
      <c r="P2107" t="s">
        <v>7400</v>
      </c>
      <c r="Q2107" t="s">
        <v>7401</v>
      </c>
      <c r="R2107" t="s">
        <v>7402</v>
      </c>
      <c r="S2107" t="s">
        <v>36</v>
      </c>
      <c r="T2107" t="str">
        <f>"86435"</f>
        <v>86435</v>
      </c>
      <c r="U2107" t="str">
        <f>""</f>
        <v/>
      </c>
      <c r="V2107" t="s">
        <v>7400</v>
      </c>
      <c r="W2107" t="s">
        <v>7401</v>
      </c>
      <c r="X2107" t="s">
        <v>7402</v>
      </c>
      <c r="Y2107" t="s">
        <v>36</v>
      </c>
      <c r="Z2107" t="str">
        <f>"86435"</f>
        <v>86435</v>
      </c>
      <c r="AA2107" t="str">
        <f>""</f>
        <v/>
      </c>
      <c r="AB2107" t="s">
        <v>265</v>
      </c>
    </row>
    <row r="2108" spans="1:28" x14ac:dyDescent="0.25">
      <c r="A2108">
        <v>88454</v>
      </c>
      <c r="B2108" t="str">
        <f>"099107000"</f>
        <v>099107000</v>
      </c>
      <c r="C2108" t="s">
        <v>3801</v>
      </c>
      <c r="D2108">
        <v>80466</v>
      </c>
      <c r="E2108" t="str">
        <f>"104001011"</f>
        <v>104001011</v>
      </c>
      <c r="F2108" t="s">
        <v>3801</v>
      </c>
      <c r="G2108" t="s">
        <v>42</v>
      </c>
      <c r="H2108" t="s">
        <v>7397</v>
      </c>
      <c r="I2108" t="s">
        <v>7398</v>
      </c>
      <c r="J2108" t="s">
        <v>7403</v>
      </c>
      <c r="K2108" t="str">
        <f>"9284482901"</f>
        <v>9284482901</v>
      </c>
      <c r="L2108" t="str">
        <f>""</f>
        <v/>
      </c>
      <c r="M2108" t="str">
        <f>"9284482081"</f>
        <v>9284482081</v>
      </c>
      <c r="N2108" t="str">
        <f>""</f>
        <v/>
      </c>
      <c r="O2108" t="s">
        <v>7399</v>
      </c>
      <c r="P2108" t="s">
        <v>7404</v>
      </c>
      <c r="R2108" t="s">
        <v>7402</v>
      </c>
      <c r="S2108" t="s">
        <v>36</v>
      </c>
      <c r="T2108" t="str">
        <f>"86435"</f>
        <v>86435</v>
      </c>
      <c r="U2108" t="str">
        <f>""</f>
        <v/>
      </c>
      <c r="V2108" t="s">
        <v>7404</v>
      </c>
      <c r="X2108" t="s">
        <v>7402</v>
      </c>
      <c r="Y2108" t="s">
        <v>36</v>
      </c>
      <c r="Z2108" t="str">
        <f>"86435"</f>
        <v>86435</v>
      </c>
      <c r="AA2108" t="str">
        <f>""</f>
        <v/>
      </c>
      <c r="AB2108" t="s">
        <v>265</v>
      </c>
    </row>
    <row r="2109" spans="1:28" x14ac:dyDescent="0.25">
      <c r="A2109">
        <v>88455</v>
      </c>
      <c r="B2109" t="str">
        <f>"099108000"</f>
        <v>099108000</v>
      </c>
      <c r="C2109" t="s">
        <v>7405</v>
      </c>
      <c r="D2109">
        <v>0</v>
      </c>
      <c r="E2109" t="str">
        <f>""</f>
        <v/>
      </c>
      <c r="G2109" t="s">
        <v>29</v>
      </c>
      <c r="H2109" t="s">
        <v>1429</v>
      </c>
      <c r="I2109" t="s">
        <v>7406</v>
      </c>
      <c r="J2109" t="s">
        <v>3686</v>
      </c>
      <c r="K2109" t="str">
        <f>"9282835361"</f>
        <v>9282835361</v>
      </c>
      <c r="L2109" t="str">
        <f>"1021"</f>
        <v>1021</v>
      </c>
      <c r="M2109" t="str">
        <f>""</f>
        <v/>
      </c>
      <c r="N2109" t="str">
        <f>""</f>
        <v/>
      </c>
      <c r="O2109" t="s">
        <v>7407</v>
      </c>
      <c r="P2109" t="s">
        <v>7408</v>
      </c>
      <c r="Q2109" t="s">
        <v>7409</v>
      </c>
      <c r="R2109" t="s">
        <v>659</v>
      </c>
      <c r="S2109" t="s">
        <v>36</v>
      </c>
      <c r="T2109" t="str">
        <f>"86045"</f>
        <v>86045</v>
      </c>
      <c r="U2109" t="str">
        <f>""</f>
        <v/>
      </c>
      <c r="V2109" t="s">
        <v>7410</v>
      </c>
      <c r="X2109" t="s">
        <v>659</v>
      </c>
      <c r="Y2109" t="s">
        <v>36</v>
      </c>
      <c r="Z2109" t="str">
        <f>"86045"</f>
        <v>86045</v>
      </c>
      <c r="AA2109" t="str">
        <f>""</f>
        <v/>
      </c>
      <c r="AB2109" t="s">
        <v>40</v>
      </c>
    </row>
    <row r="2110" spans="1:28" x14ac:dyDescent="0.25">
      <c r="A2110">
        <v>88455</v>
      </c>
      <c r="B2110" t="str">
        <f>"099108000"</f>
        <v>099108000</v>
      </c>
      <c r="C2110" t="s">
        <v>7405</v>
      </c>
      <c r="D2110">
        <v>80099</v>
      </c>
      <c r="E2110" t="str">
        <f>"093906007"</f>
        <v>093906007</v>
      </c>
      <c r="F2110" t="s">
        <v>7405</v>
      </c>
      <c r="G2110" t="s">
        <v>42</v>
      </c>
      <c r="H2110" t="s">
        <v>7411</v>
      </c>
      <c r="I2110" t="s">
        <v>7412</v>
      </c>
      <c r="J2110" t="s">
        <v>3686</v>
      </c>
      <c r="K2110" t="str">
        <f>"9282835361"</f>
        <v>9282835361</v>
      </c>
      <c r="L2110" t="str">
        <f>"1021"</f>
        <v>1021</v>
      </c>
      <c r="M2110" t="str">
        <f>"9282834662"</f>
        <v>9282834662</v>
      </c>
      <c r="N2110" t="str">
        <f>""</f>
        <v/>
      </c>
      <c r="O2110" t="s">
        <v>7407</v>
      </c>
      <c r="P2110" t="s">
        <v>7408</v>
      </c>
      <c r="R2110" t="s">
        <v>659</v>
      </c>
      <c r="S2110" t="s">
        <v>36</v>
      </c>
      <c r="T2110" t="str">
        <f>"86045"</f>
        <v>86045</v>
      </c>
      <c r="U2110" t="str">
        <f>""</f>
        <v/>
      </c>
      <c r="V2110" t="s">
        <v>7413</v>
      </c>
      <c r="X2110" t="s">
        <v>659</v>
      </c>
      <c r="Y2110" t="s">
        <v>36</v>
      </c>
      <c r="Z2110" t="str">
        <f>"86045"</f>
        <v>86045</v>
      </c>
      <c r="AA2110" t="str">
        <f>""</f>
        <v/>
      </c>
      <c r="AB2110" t="s">
        <v>40</v>
      </c>
    </row>
    <row r="2111" spans="1:28" x14ac:dyDescent="0.25">
      <c r="A2111">
        <v>89301</v>
      </c>
      <c r="B2111" t="str">
        <f>"042003000"</f>
        <v>042003000</v>
      </c>
      <c r="C2111" t="s">
        <v>7414</v>
      </c>
      <c r="D2111">
        <v>0</v>
      </c>
      <c r="E2111" t="str">
        <f>""</f>
        <v/>
      </c>
      <c r="G2111" t="s">
        <v>29</v>
      </c>
      <c r="H2111" t="s">
        <v>7415</v>
      </c>
      <c r="I2111" t="s">
        <v>417</v>
      </c>
      <c r="J2111" t="s">
        <v>3734</v>
      </c>
      <c r="K2111" t="str">
        <f>"9284752449"</f>
        <v>9284752449</v>
      </c>
      <c r="L2111" t="str">
        <f>""</f>
        <v/>
      </c>
      <c r="M2111" t="str">
        <f>"9284752050"</f>
        <v>9284752050</v>
      </c>
      <c r="N2111" t="str">
        <f>""</f>
        <v/>
      </c>
      <c r="O2111" t="s">
        <v>7416</v>
      </c>
      <c r="P2111" t="s">
        <v>5719</v>
      </c>
      <c r="R2111" t="s">
        <v>733</v>
      </c>
      <c r="S2111" t="s">
        <v>36</v>
      </c>
      <c r="T2111" t="str">
        <f>"85550"</f>
        <v>85550</v>
      </c>
      <c r="U2111" t="str">
        <f>""</f>
        <v/>
      </c>
      <c r="V2111" t="s">
        <v>7417</v>
      </c>
      <c r="X2111" t="s">
        <v>733</v>
      </c>
      <c r="Y2111" t="s">
        <v>36</v>
      </c>
      <c r="Z2111" t="str">
        <f>"85550"</f>
        <v>85550</v>
      </c>
      <c r="AA2111" t="str">
        <f>""</f>
        <v/>
      </c>
      <c r="AB2111" t="s">
        <v>7418</v>
      </c>
    </row>
    <row r="2112" spans="1:28" x14ac:dyDescent="0.25">
      <c r="A2112">
        <v>89301</v>
      </c>
      <c r="B2112" t="str">
        <f>"042003000"</f>
        <v>042003000</v>
      </c>
      <c r="C2112" t="s">
        <v>7414</v>
      </c>
      <c r="D2112">
        <v>89302</v>
      </c>
      <c r="E2112" t="str">
        <f>"042003001"</f>
        <v>042003001</v>
      </c>
      <c r="F2112" t="s">
        <v>7414</v>
      </c>
      <c r="G2112" t="s">
        <v>42</v>
      </c>
      <c r="H2112" t="s">
        <v>158</v>
      </c>
      <c r="I2112" t="s">
        <v>1647</v>
      </c>
      <c r="J2112" t="s">
        <v>7419</v>
      </c>
      <c r="K2112" t="str">
        <f>"9284752449"</f>
        <v>9284752449</v>
      </c>
      <c r="L2112" t="str">
        <f>""</f>
        <v/>
      </c>
      <c r="M2112" t="str">
        <f>"9284752050"</f>
        <v>9284752050</v>
      </c>
      <c r="N2112" t="str">
        <f>""</f>
        <v/>
      </c>
      <c r="O2112" t="s">
        <v>7420</v>
      </c>
      <c r="P2112" t="s">
        <v>5719</v>
      </c>
      <c r="R2112" t="s">
        <v>733</v>
      </c>
      <c r="S2112" t="s">
        <v>36</v>
      </c>
      <c r="T2112" t="str">
        <f>"85550"</f>
        <v>85550</v>
      </c>
      <c r="U2112" t="str">
        <f>""</f>
        <v/>
      </c>
      <c r="V2112" t="s">
        <v>7421</v>
      </c>
      <c r="X2112" t="s">
        <v>733</v>
      </c>
      <c r="Y2112" t="s">
        <v>36</v>
      </c>
      <c r="Z2112" t="str">
        <f>"85550"</f>
        <v>85550</v>
      </c>
      <c r="AA2112" t="str">
        <f>""</f>
        <v/>
      </c>
      <c r="AB2112" t="s">
        <v>7418</v>
      </c>
    </row>
    <row r="2113" spans="1:28" x14ac:dyDescent="0.25">
      <c r="A2113">
        <v>89414</v>
      </c>
      <c r="B2113" t="str">
        <f>"078688000"</f>
        <v>078688000</v>
      </c>
      <c r="C2113" t="s">
        <v>7422</v>
      </c>
      <c r="D2113">
        <v>0</v>
      </c>
      <c r="E2113" t="str">
        <f>""</f>
        <v/>
      </c>
      <c r="G2113" t="s">
        <v>29</v>
      </c>
      <c r="H2113" t="s">
        <v>6054</v>
      </c>
      <c r="I2113" t="s">
        <v>7423</v>
      </c>
      <c r="J2113" t="s">
        <v>5777</v>
      </c>
      <c r="K2113" t="str">
        <f>"6024853402"</f>
        <v>6024853402</v>
      </c>
      <c r="L2113" t="str">
        <f>""</f>
        <v/>
      </c>
      <c r="M2113" t="str">
        <f>""</f>
        <v/>
      </c>
      <c r="N2113" t="str">
        <f>""</f>
        <v/>
      </c>
      <c r="O2113" t="s">
        <v>7424</v>
      </c>
      <c r="P2113" t="s">
        <v>7425</v>
      </c>
      <c r="R2113" t="s">
        <v>964</v>
      </c>
      <c r="S2113" t="s">
        <v>36</v>
      </c>
      <c r="T2113" t="str">
        <f>"85021"</f>
        <v>85021</v>
      </c>
      <c r="U2113" t="str">
        <f>""</f>
        <v/>
      </c>
      <c r="V2113" t="s">
        <v>7425</v>
      </c>
      <c r="X2113" t="s">
        <v>964</v>
      </c>
      <c r="Y2113" t="s">
        <v>36</v>
      </c>
      <c r="Z2113" t="str">
        <f>"85021"</f>
        <v>85021</v>
      </c>
      <c r="AA2113" t="str">
        <f>""</f>
        <v/>
      </c>
      <c r="AB2113" t="s">
        <v>508</v>
      </c>
    </row>
    <row r="2114" spans="1:28" x14ac:dyDescent="0.25">
      <c r="A2114">
        <v>89414</v>
      </c>
      <c r="B2114" t="str">
        <f>"078688000"</f>
        <v>078688000</v>
      </c>
      <c r="C2114" t="s">
        <v>7422</v>
      </c>
      <c r="D2114">
        <v>89415</v>
      </c>
      <c r="E2114" t="str">
        <f>"078688101"</f>
        <v>078688101</v>
      </c>
      <c r="F2114" t="s">
        <v>7426</v>
      </c>
      <c r="G2114" t="s">
        <v>42</v>
      </c>
      <c r="H2114" t="s">
        <v>6054</v>
      </c>
      <c r="I2114" t="s">
        <v>7423</v>
      </c>
      <c r="J2114" t="s">
        <v>5777</v>
      </c>
      <c r="K2114" t="str">
        <f>"6024853402"</f>
        <v>6024853402</v>
      </c>
      <c r="L2114" t="str">
        <f>""</f>
        <v/>
      </c>
      <c r="M2114" t="str">
        <f>"6024857874"</f>
        <v>6024857874</v>
      </c>
      <c r="N2114" t="str">
        <f>""</f>
        <v/>
      </c>
      <c r="O2114" t="s">
        <v>7424</v>
      </c>
      <c r="P2114" t="s">
        <v>7425</v>
      </c>
      <c r="R2114" t="s">
        <v>964</v>
      </c>
      <c r="S2114" t="s">
        <v>36</v>
      </c>
      <c r="T2114" t="str">
        <f>"85021"</f>
        <v>85021</v>
      </c>
      <c r="U2114" t="str">
        <f>""</f>
        <v/>
      </c>
      <c r="V2114" t="s">
        <v>7425</v>
      </c>
      <c r="X2114" t="s">
        <v>964</v>
      </c>
      <c r="Y2114" t="s">
        <v>36</v>
      </c>
      <c r="Z2114" t="str">
        <f>"85021"</f>
        <v>85021</v>
      </c>
      <c r="AA2114" t="str">
        <f>""</f>
        <v/>
      </c>
      <c r="AB2114" t="s">
        <v>508</v>
      </c>
    </row>
    <row r="2115" spans="1:28" x14ac:dyDescent="0.25">
      <c r="A2115">
        <v>89556</v>
      </c>
      <c r="B2115" t="str">
        <f>"078530000"</f>
        <v>078530000</v>
      </c>
      <c r="C2115" t="s">
        <v>7427</v>
      </c>
      <c r="D2115">
        <v>0</v>
      </c>
      <c r="E2115" t="str">
        <f>""</f>
        <v/>
      </c>
      <c r="G2115" t="s">
        <v>29</v>
      </c>
      <c r="H2115" t="s">
        <v>1323</v>
      </c>
      <c r="I2115" t="s">
        <v>7428</v>
      </c>
      <c r="J2115" t="s">
        <v>7429</v>
      </c>
      <c r="K2115" t="str">
        <f>"4804610555"</f>
        <v>4804610555</v>
      </c>
      <c r="L2115" t="str">
        <f>""</f>
        <v/>
      </c>
      <c r="M2115" t="str">
        <f>"4804610556"</f>
        <v>4804610556</v>
      </c>
      <c r="N2115" t="str">
        <f>""</f>
        <v/>
      </c>
      <c r="O2115" t="s">
        <v>7430</v>
      </c>
      <c r="P2115" t="s">
        <v>7431</v>
      </c>
      <c r="R2115" t="s">
        <v>979</v>
      </c>
      <c r="S2115" t="s">
        <v>36</v>
      </c>
      <c r="T2115" t="str">
        <f>"85201"</f>
        <v>85201</v>
      </c>
      <c r="U2115" t="str">
        <f>""</f>
        <v/>
      </c>
      <c r="V2115" t="s">
        <v>7431</v>
      </c>
      <c r="X2115" t="s">
        <v>979</v>
      </c>
      <c r="Y2115" t="s">
        <v>36</v>
      </c>
      <c r="Z2115" t="str">
        <f>"85201"</f>
        <v>85201</v>
      </c>
      <c r="AA2115" t="str">
        <f>""</f>
        <v/>
      </c>
      <c r="AB2115" t="s">
        <v>632</v>
      </c>
    </row>
    <row r="2116" spans="1:28" x14ac:dyDescent="0.25">
      <c r="A2116">
        <v>89556</v>
      </c>
      <c r="B2116" t="str">
        <f>"078530000"</f>
        <v>078530000</v>
      </c>
      <c r="C2116" t="s">
        <v>7427</v>
      </c>
      <c r="D2116">
        <v>89557</v>
      </c>
      <c r="E2116" t="str">
        <f>"078530101"</f>
        <v>078530101</v>
      </c>
      <c r="F2116" t="s">
        <v>7432</v>
      </c>
      <c r="G2116" t="s">
        <v>42</v>
      </c>
      <c r="H2116" t="s">
        <v>7433</v>
      </c>
      <c r="I2116" t="s">
        <v>7434</v>
      </c>
      <c r="J2116" t="s">
        <v>7435</v>
      </c>
      <c r="K2116" t="str">
        <f>"4804610555"</f>
        <v>4804610555</v>
      </c>
      <c r="L2116" t="str">
        <f>""</f>
        <v/>
      </c>
      <c r="M2116" t="str">
        <f>"4804610556"</f>
        <v>4804610556</v>
      </c>
      <c r="N2116" t="str">
        <f>""</f>
        <v/>
      </c>
      <c r="O2116" t="s">
        <v>7436</v>
      </c>
      <c r="P2116" t="s">
        <v>7437</v>
      </c>
      <c r="R2116" t="s">
        <v>979</v>
      </c>
      <c r="S2116" t="s">
        <v>36</v>
      </c>
      <c r="T2116" t="str">
        <f>"85201"</f>
        <v>85201</v>
      </c>
      <c r="U2116" t="str">
        <f>""</f>
        <v/>
      </c>
      <c r="V2116" t="s">
        <v>7437</v>
      </c>
      <c r="X2116" t="s">
        <v>979</v>
      </c>
      <c r="Y2116" t="s">
        <v>36</v>
      </c>
      <c r="Z2116" t="str">
        <f>"85201"</f>
        <v>85201</v>
      </c>
      <c r="AA2116" t="str">
        <f>""</f>
        <v/>
      </c>
      <c r="AB2116" t="s">
        <v>632</v>
      </c>
    </row>
    <row r="2117" spans="1:28" x14ac:dyDescent="0.25">
      <c r="A2117">
        <v>89561</v>
      </c>
      <c r="B2117" t="str">
        <f>"078531000"</f>
        <v>078531000</v>
      </c>
      <c r="C2117" t="s">
        <v>7438</v>
      </c>
      <c r="D2117">
        <v>0</v>
      </c>
      <c r="E2117" t="str">
        <f>""</f>
        <v/>
      </c>
      <c r="G2117" t="s">
        <v>29</v>
      </c>
      <c r="H2117" t="s">
        <v>6179</v>
      </c>
      <c r="I2117" t="s">
        <v>6180</v>
      </c>
      <c r="J2117" t="s">
        <v>6181</v>
      </c>
      <c r="K2117" t="str">
        <f>"4805007059"</f>
        <v>4805007059</v>
      </c>
      <c r="L2117" t="str">
        <f>""</f>
        <v/>
      </c>
      <c r="M2117" t="str">
        <f>""</f>
        <v/>
      </c>
      <c r="N2117" t="str">
        <f>""</f>
        <v/>
      </c>
      <c r="O2117" t="s">
        <v>6182</v>
      </c>
      <c r="P2117" t="s">
        <v>6183</v>
      </c>
      <c r="R2117" t="s">
        <v>964</v>
      </c>
      <c r="S2117" t="s">
        <v>36</v>
      </c>
      <c r="T2117" t="str">
        <f t="shared" ref="T2117:T2128" si="312">"85035"</f>
        <v>85035</v>
      </c>
      <c r="U2117" t="str">
        <f>""</f>
        <v/>
      </c>
      <c r="V2117" t="s">
        <v>7324</v>
      </c>
      <c r="X2117" t="s">
        <v>964</v>
      </c>
      <c r="Y2117" t="s">
        <v>36</v>
      </c>
      <c r="Z2117" t="str">
        <f>"85015"</f>
        <v>85015</v>
      </c>
      <c r="AA2117" t="str">
        <f>""</f>
        <v/>
      </c>
      <c r="AB2117" t="s">
        <v>1166</v>
      </c>
    </row>
    <row r="2118" spans="1:28" x14ac:dyDescent="0.25">
      <c r="A2118">
        <v>89561</v>
      </c>
      <c r="B2118" t="str">
        <f>"078531000"</f>
        <v>078531000</v>
      </c>
      <c r="C2118" t="s">
        <v>7438</v>
      </c>
      <c r="D2118">
        <v>89562</v>
      </c>
      <c r="E2118" t="str">
        <f>"078531101"</f>
        <v>078531101</v>
      </c>
      <c r="F2118" t="s">
        <v>7439</v>
      </c>
      <c r="G2118" t="s">
        <v>42</v>
      </c>
      <c r="H2118" t="s">
        <v>752</v>
      </c>
      <c r="I2118" t="s">
        <v>7326</v>
      </c>
      <c r="J2118" t="s">
        <v>301</v>
      </c>
      <c r="K2118" t="str">
        <f>"6023444620"</f>
        <v>6023444620</v>
      </c>
      <c r="L2118" t="str">
        <f>"213"</f>
        <v>213</v>
      </c>
      <c r="M2118" t="str">
        <f>"6023444630"</f>
        <v>6023444630</v>
      </c>
      <c r="N2118" t="str">
        <f>""</f>
        <v/>
      </c>
      <c r="O2118" t="s">
        <v>7440</v>
      </c>
      <c r="P2118" t="s">
        <v>6183</v>
      </c>
      <c r="R2118" t="s">
        <v>964</v>
      </c>
      <c r="S2118" t="s">
        <v>36</v>
      </c>
      <c r="T2118" t="str">
        <f t="shared" si="312"/>
        <v>85035</v>
      </c>
      <c r="U2118" t="str">
        <f>""</f>
        <v/>
      </c>
      <c r="V2118" t="s">
        <v>7328</v>
      </c>
      <c r="X2118" t="s">
        <v>964</v>
      </c>
      <c r="Y2118" t="s">
        <v>36</v>
      </c>
      <c r="Z2118" t="str">
        <f>"85015"</f>
        <v>85015</v>
      </c>
      <c r="AA2118" t="str">
        <f>""</f>
        <v/>
      </c>
      <c r="AB2118" t="s">
        <v>1166</v>
      </c>
    </row>
    <row r="2119" spans="1:28" x14ac:dyDescent="0.25">
      <c r="A2119">
        <v>89563</v>
      </c>
      <c r="B2119" t="str">
        <f>"078532000"</f>
        <v>078532000</v>
      </c>
      <c r="C2119" t="s">
        <v>7441</v>
      </c>
      <c r="D2119">
        <v>0</v>
      </c>
      <c r="E2119" t="str">
        <f>""</f>
        <v/>
      </c>
      <c r="G2119" t="s">
        <v>29</v>
      </c>
      <c r="H2119" t="s">
        <v>6179</v>
      </c>
      <c r="I2119" t="s">
        <v>6180</v>
      </c>
      <c r="J2119" t="s">
        <v>6181</v>
      </c>
      <c r="K2119" t="str">
        <f>"4805007059"</f>
        <v>4805007059</v>
      </c>
      <c r="L2119" t="str">
        <f>""</f>
        <v/>
      </c>
      <c r="M2119" t="str">
        <f>""</f>
        <v/>
      </c>
      <c r="N2119" t="str">
        <f>""</f>
        <v/>
      </c>
      <c r="O2119" t="s">
        <v>6182</v>
      </c>
      <c r="P2119" t="s">
        <v>6183</v>
      </c>
      <c r="R2119" t="s">
        <v>964</v>
      </c>
      <c r="S2119" t="s">
        <v>36</v>
      </c>
      <c r="T2119" t="str">
        <f t="shared" si="312"/>
        <v>85035</v>
      </c>
      <c r="U2119" t="str">
        <f>""</f>
        <v/>
      </c>
      <c r="V2119" t="s">
        <v>7442</v>
      </c>
      <c r="X2119" t="s">
        <v>964</v>
      </c>
      <c r="Y2119" t="s">
        <v>36</v>
      </c>
      <c r="Z2119" t="str">
        <f>"85035"</f>
        <v>85035</v>
      </c>
      <c r="AA2119" t="str">
        <f>""</f>
        <v/>
      </c>
      <c r="AB2119" t="s">
        <v>1166</v>
      </c>
    </row>
    <row r="2120" spans="1:28" x14ac:dyDescent="0.25">
      <c r="A2120">
        <v>89563</v>
      </c>
      <c r="B2120" t="str">
        <f>"078532000"</f>
        <v>078532000</v>
      </c>
      <c r="C2120" t="s">
        <v>7441</v>
      </c>
      <c r="D2120">
        <v>89564</v>
      </c>
      <c r="E2120" t="str">
        <f>"078532101"</f>
        <v>078532101</v>
      </c>
      <c r="F2120" t="s">
        <v>7443</v>
      </c>
      <c r="G2120" t="s">
        <v>42</v>
      </c>
      <c r="H2120" t="s">
        <v>1694</v>
      </c>
      <c r="I2120" t="s">
        <v>7331</v>
      </c>
      <c r="J2120" t="s">
        <v>301</v>
      </c>
      <c r="K2120" t="str">
        <f>"6233447150"</f>
        <v>6233447150</v>
      </c>
      <c r="L2120" t="str">
        <f>""</f>
        <v/>
      </c>
      <c r="M2120" t="str">
        <f>"6233447160"</f>
        <v>6233447160</v>
      </c>
      <c r="N2120" t="str">
        <f>""</f>
        <v/>
      </c>
      <c r="O2120" t="s">
        <v>7332</v>
      </c>
      <c r="P2120" t="s">
        <v>6183</v>
      </c>
      <c r="R2120" t="s">
        <v>964</v>
      </c>
      <c r="S2120" t="s">
        <v>36</v>
      </c>
      <c r="T2120" t="str">
        <f t="shared" si="312"/>
        <v>85035</v>
      </c>
      <c r="U2120" t="str">
        <f>""</f>
        <v/>
      </c>
      <c r="V2120" t="s">
        <v>7444</v>
      </c>
      <c r="X2120" t="s">
        <v>964</v>
      </c>
      <c r="Y2120" t="s">
        <v>36</v>
      </c>
      <c r="Z2120" t="str">
        <f>"85035"</f>
        <v>85035</v>
      </c>
      <c r="AA2120" t="str">
        <f>""</f>
        <v/>
      </c>
      <c r="AB2120" t="s">
        <v>1166</v>
      </c>
    </row>
    <row r="2121" spans="1:28" x14ac:dyDescent="0.25">
      <c r="A2121">
        <v>89784</v>
      </c>
      <c r="B2121" t="str">
        <f>"078535000"</f>
        <v>078535000</v>
      </c>
      <c r="C2121" t="s">
        <v>7445</v>
      </c>
      <c r="D2121">
        <v>0</v>
      </c>
      <c r="E2121" t="str">
        <f>""</f>
        <v/>
      </c>
      <c r="G2121" t="s">
        <v>29</v>
      </c>
      <c r="H2121" t="s">
        <v>6179</v>
      </c>
      <c r="I2121" t="s">
        <v>6180</v>
      </c>
      <c r="J2121" t="s">
        <v>6181</v>
      </c>
      <c r="K2121" t="str">
        <f>"4805007059"</f>
        <v>4805007059</v>
      </c>
      <c r="L2121" t="str">
        <f>""</f>
        <v/>
      </c>
      <c r="M2121" t="str">
        <f>""</f>
        <v/>
      </c>
      <c r="N2121" t="str">
        <f>""</f>
        <v/>
      </c>
      <c r="O2121" t="s">
        <v>6182</v>
      </c>
      <c r="P2121" t="s">
        <v>6183</v>
      </c>
      <c r="R2121" t="s">
        <v>964</v>
      </c>
      <c r="S2121" t="s">
        <v>36</v>
      </c>
      <c r="T2121" t="str">
        <f t="shared" si="312"/>
        <v>85035</v>
      </c>
      <c r="U2121" t="str">
        <f>""</f>
        <v/>
      </c>
      <c r="V2121" t="s">
        <v>7446</v>
      </c>
      <c r="X2121" t="s">
        <v>2893</v>
      </c>
      <c r="Y2121" t="s">
        <v>36</v>
      </c>
      <c r="Z2121" t="str">
        <f>"85323"</f>
        <v>85323</v>
      </c>
      <c r="AA2121" t="str">
        <f>""</f>
        <v/>
      </c>
      <c r="AB2121" t="s">
        <v>1166</v>
      </c>
    </row>
    <row r="2122" spans="1:28" x14ac:dyDescent="0.25">
      <c r="A2122">
        <v>89784</v>
      </c>
      <c r="B2122" t="str">
        <f>"078535000"</f>
        <v>078535000</v>
      </c>
      <c r="C2122" t="s">
        <v>7445</v>
      </c>
      <c r="D2122">
        <v>89785</v>
      </c>
      <c r="E2122" t="str">
        <f>"078535101"</f>
        <v>078535101</v>
      </c>
      <c r="F2122" t="s">
        <v>7447</v>
      </c>
      <c r="G2122" t="s">
        <v>42</v>
      </c>
      <c r="H2122" t="s">
        <v>4729</v>
      </c>
      <c r="I2122" t="s">
        <v>2174</v>
      </c>
      <c r="J2122" t="s">
        <v>301</v>
      </c>
      <c r="K2122" t="str">
        <f>"6233441730"</f>
        <v>6233441730</v>
      </c>
      <c r="L2122" t="str">
        <f>""</f>
        <v/>
      </c>
      <c r="M2122" t="str">
        <f>"6233441740"</f>
        <v>6233441740</v>
      </c>
      <c r="N2122" t="str">
        <f>""</f>
        <v/>
      </c>
      <c r="O2122" t="s">
        <v>7448</v>
      </c>
      <c r="P2122" t="s">
        <v>6183</v>
      </c>
      <c r="R2122" t="s">
        <v>964</v>
      </c>
      <c r="S2122" t="s">
        <v>36</v>
      </c>
      <c r="T2122" t="str">
        <f t="shared" si="312"/>
        <v>85035</v>
      </c>
      <c r="U2122" t="str">
        <f>""</f>
        <v/>
      </c>
      <c r="V2122" t="s">
        <v>7449</v>
      </c>
      <c r="X2122" t="s">
        <v>2893</v>
      </c>
      <c r="Y2122" t="s">
        <v>36</v>
      </c>
      <c r="Z2122" t="str">
        <f>"85323"</f>
        <v>85323</v>
      </c>
      <c r="AA2122" t="str">
        <f>""</f>
        <v/>
      </c>
      <c r="AB2122" t="s">
        <v>1166</v>
      </c>
    </row>
    <row r="2123" spans="1:28" x14ac:dyDescent="0.25">
      <c r="A2123">
        <v>89786</v>
      </c>
      <c r="B2123" t="str">
        <f>"078536000"</f>
        <v>078536000</v>
      </c>
      <c r="C2123" t="s">
        <v>7450</v>
      </c>
      <c r="D2123">
        <v>0</v>
      </c>
      <c r="E2123" t="str">
        <f>""</f>
        <v/>
      </c>
      <c r="G2123" t="s">
        <v>29</v>
      </c>
      <c r="H2123" t="s">
        <v>6179</v>
      </c>
      <c r="I2123" t="s">
        <v>6180</v>
      </c>
      <c r="J2123" t="s">
        <v>6181</v>
      </c>
      <c r="K2123" t="str">
        <f>"4805007059"</f>
        <v>4805007059</v>
      </c>
      <c r="L2123" t="str">
        <f>""</f>
        <v/>
      </c>
      <c r="M2123" t="str">
        <f>""</f>
        <v/>
      </c>
      <c r="N2123" t="str">
        <f>""</f>
        <v/>
      </c>
      <c r="O2123" t="s">
        <v>6182</v>
      </c>
      <c r="P2123" t="s">
        <v>6183</v>
      </c>
      <c r="R2123" t="s">
        <v>964</v>
      </c>
      <c r="S2123" t="s">
        <v>36</v>
      </c>
      <c r="T2123" t="str">
        <f t="shared" si="312"/>
        <v>85035</v>
      </c>
      <c r="U2123" t="str">
        <f>""</f>
        <v/>
      </c>
      <c r="V2123" t="s">
        <v>7451</v>
      </c>
      <c r="X2123" t="s">
        <v>4886</v>
      </c>
      <c r="Y2123" t="s">
        <v>36</v>
      </c>
      <c r="Z2123" t="str">
        <f>"85128"</f>
        <v>85128</v>
      </c>
      <c r="AA2123" t="str">
        <f>""</f>
        <v/>
      </c>
      <c r="AB2123" t="s">
        <v>1166</v>
      </c>
    </row>
    <row r="2124" spans="1:28" x14ac:dyDescent="0.25">
      <c r="A2124">
        <v>89786</v>
      </c>
      <c r="B2124" t="str">
        <f>"078536000"</f>
        <v>078536000</v>
      </c>
      <c r="C2124" t="s">
        <v>7450</v>
      </c>
      <c r="D2124">
        <v>89787</v>
      </c>
      <c r="E2124" t="str">
        <f>"078536101"</f>
        <v>078536101</v>
      </c>
      <c r="F2124" t="s">
        <v>7452</v>
      </c>
      <c r="G2124" t="s">
        <v>42</v>
      </c>
      <c r="H2124" t="s">
        <v>398</v>
      </c>
      <c r="I2124" t="s">
        <v>4730</v>
      </c>
      <c r="J2124" t="s">
        <v>301</v>
      </c>
      <c r="K2124" t="str">
        <f>"5207235391"</f>
        <v>5207235391</v>
      </c>
      <c r="L2124" t="str">
        <f>""</f>
        <v/>
      </c>
      <c r="M2124" t="str">
        <f>"5207235491"</f>
        <v>5207235491</v>
      </c>
      <c r="N2124" t="str">
        <f>""</f>
        <v/>
      </c>
      <c r="O2124" t="s">
        <v>7453</v>
      </c>
      <c r="P2124" t="s">
        <v>6183</v>
      </c>
      <c r="R2124" t="s">
        <v>964</v>
      </c>
      <c r="S2124" t="s">
        <v>36</v>
      </c>
      <c r="T2124" t="str">
        <f t="shared" si="312"/>
        <v>85035</v>
      </c>
      <c r="U2124" t="str">
        <f>""</f>
        <v/>
      </c>
      <c r="V2124" t="s">
        <v>7454</v>
      </c>
      <c r="W2124" t="s">
        <v>7455</v>
      </c>
      <c r="X2124" t="s">
        <v>4886</v>
      </c>
      <c r="Y2124" t="s">
        <v>36</v>
      </c>
      <c r="Z2124" t="str">
        <f>"85228"</f>
        <v>85228</v>
      </c>
      <c r="AA2124" t="str">
        <f>""</f>
        <v/>
      </c>
      <c r="AB2124" t="s">
        <v>1166</v>
      </c>
    </row>
    <row r="2125" spans="1:28" x14ac:dyDescent="0.25">
      <c r="A2125">
        <v>89788</v>
      </c>
      <c r="B2125" t="str">
        <f>"078537000"</f>
        <v>078537000</v>
      </c>
      <c r="C2125" t="s">
        <v>7456</v>
      </c>
      <c r="D2125">
        <v>0</v>
      </c>
      <c r="E2125" t="str">
        <f>""</f>
        <v/>
      </c>
      <c r="G2125" t="s">
        <v>29</v>
      </c>
      <c r="H2125" t="s">
        <v>6179</v>
      </c>
      <c r="I2125" t="s">
        <v>6180</v>
      </c>
      <c r="J2125" t="s">
        <v>7457</v>
      </c>
      <c r="K2125" t="str">
        <f>"4805007059"</f>
        <v>4805007059</v>
      </c>
      <c r="L2125" t="str">
        <f>""</f>
        <v/>
      </c>
      <c r="M2125" t="str">
        <f>""</f>
        <v/>
      </c>
      <c r="N2125" t="str">
        <f>""</f>
        <v/>
      </c>
      <c r="O2125" t="s">
        <v>6182</v>
      </c>
      <c r="P2125" t="s">
        <v>6183</v>
      </c>
      <c r="R2125" t="s">
        <v>964</v>
      </c>
      <c r="S2125" t="s">
        <v>36</v>
      </c>
      <c r="T2125" t="str">
        <f t="shared" si="312"/>
        <v>85035</v>
      </c>
      <c r="U2125" t="str">
        <f>""</f>
        <v/>
      </c>
      <c r="V2125" t="s">
        <v>7458</v>
      </c>
      <c r="X2125" t="s">
        <v>4907</v>
      </c>
      <c r="Y2125" t="s">
        <v>36</v>
      </c>
      <c r="Z2125" t="str">
        <f>"85120"</f>
        <v>85120</v>
      </c>
      <c r="AA2125" t="str">
        <f>""</f>
        <v/>
      </c>
      <c r="AB2125" t="s">
        <v>1166</v>
      </c>
    </row>
    <row r="2126" spans="1:28" x14ac:dyDescent="0.25">
      <c r="A2126">
        <v>89788</v>
      </c>
      <c r="B2126" t="str">
        <f>"078537000"</f>
        <v>078537000</v>
      </c>
      <c r="C2126" t="s">
        <v>7456</v>
      </c>
      <c r="D2126">
        <v>89789</v>
      </c>
      <c r="E2126" t="str">
        <f>"078537101"</f>
        <v>078537101</v>
      </c>
      <c r="F2126" t="s">
        <v>7459</v>
      </c>
      <c r="G2126" t="s">
        <v>42</v>
      </c>
      <c r="H2126" t="s">
        <v>7460</v>
      </c>
      <c r="I2126" t="s">
        <v>7461</v>
      </c>
      <c r="J2126" t="s">
        <v>301</v>
      </c>
      <c r="K2126" t="str">
        <f>"4803550530"</f>
        <v>4803550530</v>
      </c>
      <c r="L2126" t="str">
        <f>""</f>
        <v/>
      </c>
      <c r="M2126" t="str">
        <f>"4803550540"</f>
        <v>4803550540</v>
      </c>
      <c r="N2126" t="str">
        <f>""</f>
        <v/>
      </c>
      <c r="O2126" t="s">
        <v>7462</v>
      </c>
      <c r="P2126" t="s">
        <v>6183</v>
      </c>
      <c r="R2126" t="s">
        <v>964</v>
      </c>
      <c r="S2126" t="s">
        <v>36</v>
      </c>
      <c r="T2126" t="str">
        <f t="shared" si="312"/>
        <v>85035</v>
      </c>
      <c r="U2126" t="str">
        <f>""</f>
        <v/>
      </c>
      <c r="V2126" t="s">
        <v>7463</v>
      </c>
      <c r="X2126" t="s">
        <v>4907</v>
      </c>
      <c r="Y2126" t="s">
        <v>36</v>
      </c>
      <c r="Z2126" t="str">
        <f>"85120"</f>
        <v>85120</v>
      </c>
      <c r="AA2126" t="str">
        <f>""</f>
        <v/>
      </c>
      <c r="AB2126" t="s">
        <v>1166</v>
      </c>
    </row>
    <row r="2127" spans="1:28" x14ac:dyDescent="0.25">
      <c r="A2127">
        <v>89790</v>
      </c>
      <c r="B2127" t="str">
        <f>"078538000"</f>
        <v>078538000</v>
      </c>
      <c r="C2127" t="s">
        <v>7464</v>
      </c>
      <c r="D2127">
        <v>0</v>
      </c>
      <c r="E2127" t="str">
        <f>""</f>
        <v/>
      </c>
      <c r="G2127" t="s">
        <v>29</v>
      </c>
      <c r="H2127" t="s">
        <v>6179</v>
      </c>
      <c r="I2127" t="s">
        <v>6180</v>
      </c>
      <c r="J2127" t="s">
        <v>6181</v>
      </c>
      <c r="K2127" t="str">
        <f>"4805007059"</f>
        <v>4805007059</v>
      </c>
      <c r="L2127" t="str">
        <f>""</f>
        <v/>
      </c>
      <c r="M2127" t="str">
        <f>""</f>
        <v/>
      </c>
      <c r="N2127" t="str">
        <f>""</f>
        <v/>
      </c>
      <c r="O2127" t="s">
        <v>6182</v>
      </c>
      <c r="P2127" t="s">
        <v>6183</v>
      </c>
      <c r="R2127" t="s">
        <v>964</v>
      </c>
      <c r="S2127" t="s">
        <v>36</v>
      </c>
      <c r="T2127" t="str">
        <f t="shared" si="312"/>
        <v>85035</v>
      </c>
      <c r="U2127" t="str">
        <f>""</f>
        <v/>
      </c>
      <c r="V2127" t="s">
        <v>7338</v>
      </c>
      <c r="X2127" t="s">
        <v>1806</v>
      </c>
      <c r="Y2127" t="s">
        <v>36</v>
      </c>
      <c r="Z2127" t="str">
        <f>"85379"</f>
        <v>85379</v>
      </c>
      <c r="AA2127" t="str">
        <f>""</f>
        <v/>
      </c>
      <c r="AB2127" t="s">
        <v>1166</v>
      </c>
    </row>
    <row r="2128" spans="1:28" x14ac:dyDescent="0.25">
      <c r="A2128">
        <v>89790</v>
      </c>
      <c r="B2128" t="str">
        <f>"078538000"</f>
        <v>078538000</v>
      </c>
      <c r="C2128" t="s">
        <v>7464</v>
      </c>
      <c r="D2128">
        <v>89791</v>
      </c>
      <c r="E2128" t="str">
        <f>"078538101"</f>
        <v>078538101</v>
      </c>
      <c r="F2128" t="s">
        <v>7465</v>
      </c>
      <c r="G2128" t="s">
        <v>42</v>
      </c>
      <c r="H2128" t="s">
        <v>7340</v>
      </c>
      <c r="I2128" t="s">
        <v>6481</v>
      </c>
      <c r="J2128" t="s">
        <v>301</v>
      </c>
      <c r="K2128" t="str">
        <f>"6233441770"</f>
        <v>6233441770</v>
      </c>
      <c r="L2128" t="str">
        <f>""</f>
        <v/>
      </c>
      <c r="M2128" t="str">
        <f>"6233441780"</f>
        <v>6233441780</v>
      </c>
      <c r="N2128" t="str">
        <f>""</f>
        <v/>
      </c>
      <c r="O2128" t="s">
        <v>7341</v>
      </c>
      <c r="P2128" t="s">
        <v>6183</v>
      </c>
      <c r="R2128" t="s">
        <v>964</v>
      </c>
      <c r="S2128" t="s">
        <v>36</v>
      </c>
      <c r="T2128" t="str">
        <f t="shared" si="312"/>
        <v>85035</v>
      </c>
      <c r="U2128" t="str">
        <f>""</f>
        <v/>
      </c>
      <c r="V2128" t="s">
        <v>7342</v>
      </c>
      <c r="X2128" t="s">
        <v>1806</v>
      </c>
      <c r="Y2128" t="s">
        <v>36</v>
      </c>
      <c r="Z2128" t="str">
        <f>"85379"</f>
        <v>85379</v>
      </c>
      <c r="AA2128" t="str">
        <f>""</f>
        <v/>
      </c>
      <c r="AB2128" t="s">
        <v>1166</v>
      </c>
    </row>
    <row r="2129" spans="1:28" x14ac:dyDescent="0.25">
      <c r="A2129">
        <v>89850</v>
      </c>
      <c r="B2129" t="str">
        <f>"078541000"</f>
        <v>078541000</v>
      </c>
      <c r="C2129" t="s">
        <v>7466</v>
      </c>
      <c r="D2129">
        <v>0</v>
      </c>
      <c r="E2129" t="str">
        <f>""</f>
        <v/>
      </c>
      <c r="G2129" t="s">
        <v>29</v>
      </c>
      <c r="H2129" t="s">
        <v>7467</v>
      </c>
      <c r="I2129" t="s">
        <v>5610</v>
      </c>
      <c r="J2129" t="s">
        <v>7468</v>
      </c>
      <c r="K2129" t="str">
        <f>"6023235400"</f>
        <v>6023235400</v>
      </c>
      <c r="L2129" t="str">
        <f>""</f>
        <v/>
      </c>
      <c r="M2129" t="str">
        <f>""</f>
        <v/>
      </c>
      <c r="N2129" t="str">
        <f>""</f>
        <v/>
      </c>
      <c r="O2129" t="s">
        <v>7469</v>
      </c>
      <c r="P2129" t="s">
        <v>7470</v>
      </c>
      <c r="R2129" t="s">
        <v>964</v>
      </c>
      <c r="S2129" t="s">
        <v>36</v>
      </c>
      <c r="T2129" t="str">
        <f>"85041"</f>
        <v>85041</v>
      </c>
      <c r="U2129" t="str">
        <f>"7601"</f>
        <v>7601</v>
      </c>
      <c r="V2129" t="s">
        <v>7470</v>
      </c>
      <c r="X2129" t="s">
        <v>964</v>
      </c>
      <c r="Y2129" t="s">
        <v>36</v>
      </c>
      <c r="Z2129" t="str">
        <f>"85041"</f>
        <v>85041</v>
      </c>
      <c r="AA2129" t="str">
        <f>"7601"</f>
        <v>7601</v>
      </c>
      <c r="AB2129" t="s">
        <v>86</v>
      </c>
    </row>
    <row r="2130" spans="1:28" x14ac:dyDescent="0.25">
      <c r="A2130">
        <v>89850</v>
      </c>
      <c r="B2130" t="str">
        <f>"078541000"</f>
        <v>078541000</v>
      </c>
      <c r="C2130" t="s">
        <v>7466</v>
      </c>
      <c r="D2130">
        <v>89851</v>
      </c>
      <c r="E2130" t="str">
        <f>"078541101"</f>
        <v>078541101</v>
      </c>
      <c r="F2130" t="s">
        <v>7471</v>
      </c>
      <c r="G2130" t="s">
        <v>42</v>
      </c>
      <c r="H2130" t="s">
        <v>7467</v>
      </c>
      <c r="I2130" t="s">
        <v>5610</v>
      </c>
      <c r="J2130" t="s">
        <v>7468</v>
      </c>
      <c r="K2130" t="str">
        <f>"6023235400"</f>
        <v>6023235400</v>
      </c>
      <c r="L2130" t="str">
        <f>""</f>
        <v/>
      </c>
      <c r="M2130" t="str">
        <f>"6023235401"</f>
        <v>6023235401</v>
      </c>
      <c r="N2130" t="str">
        <f>""</f>
        <v/>
      </c>
      <c r="O2130" t="s">
        <v>7469</v>
      </c>
      <c r="P2130" t="s">
        <v>7470</v>
      </c>
      <c r="R2130" t="s">
        <v>964</v>
      </c>
      <c r="S2130" t="s">
        <v>36</v>
      </c>
      <c r="T2130" t="str">
        <f>"85041"</f>
        <v>85041</v>
      </c>
      <c r="U2130" t="str">
        <f>"7601"</f>
        <v>7601</v>
      </c>
      <c r="V2130" t="s">
        <v>7470</v>
      </c>
      <c r="X2130" t="s">
        <v>964</v>
      </c>
      <c r="Y2130" t="s">
        <v>36</v>
      </c>
      <c r="Z2130" t="str">
        <f>"85041"</f>
        <v>85041</v>
      </c>
      <c r="AA2130" t="str">
        <f>"7601"</f>
        <v>7601</v>
      </c>
      <c r="AB2130" t="s">
        <v>86</v>
      </c>
    </row>
    <row r="2131" spans="1:28" x14ac:dyDescent="0.25">
      <c r="A2131">
        <v>89852</v>
      </c>
      <c r="B2131" t="str">
        <f>"108798000"</f>
        <v>108798000</v>
      </c>
      <c r="C2131" t="s">
        <v>7472</v>
      </c>
      <c r="D2131">
        <v>0</v>
      </c>
      <c r="E2131" t="str">
        <f>""</f>
        <v/>
      </c>
      <c r="G2131" t="s">
        <v>29</v>
      </c>
      <c r="H2131" t="s">
        <v>943</v>
      </c>
      <c r="I2131" t="s">
        <v>6681</v>
      </c>
      <c r="J2131" t="s">
        <v>6682</v>
      </c>
      <c r="K2131" t="str">
        <f>"5208875392"</f>
        <v>5208875392</v>
      </c>
      <c r="L2131" t="str">
        <f>""</f>
        <v/>
      </c>
      <c r="M2131" t="str">
        <f>""</f>
        <v/>
      </c>
      <c r="N2131" t="str">
        <f>""</f>
        <v/>
      </c>
      <c r="O2131" t="s">
        <v>6683</v>
      </c>
      <c r="P2131" t="s">
        <v>7473</v>
      </c>
      <c r="R2131" t="s">
        <v>4169</v>
      </c>
      <c r="S2131" t="s">
        <v>36</v>
      </c>
      <c r="T2131" t="str">
        <f>"85706"</f>
        <v>85706</v>
      </c>
      <c r="U2131" t="str">
        <f>""</f>
        <v/>
      </c>
      <c r="V2131" t="s">
        <v>7473</v>
      </c>
      <c r="X2131" t="s">
        <v>4169</v>
      </c>
      <c r="Y2131" t="s">
        <v>36</v>
      </c>
      <c r="Z2131" t="str">
        <f>"85706"</f>
        <v>85706</v>
      </c>
      <c r="AA2131" t="str">
        <f>""</f>
        <v/>
      </c>
      <c r="AB2131" t="s">
        <v>821</v>
      </c>
    </row>
    <row r="2132" spans="1:28" x14ac:dyDescent="0.25">
      <c r="A2132">
        <v>89852</v>
      </c>
      <c r="B2132" t="str">
        <f>"108798000"</f>
        <v>108798000</v>
      </c>
      <c r="C2132" t="s">
        <v>7472</v>
      </c>
      <c r="D2132">
        <v>89853</v>
      </c>
      <c r="E2132" t="str">
        <f>"108798101"</f>
        <v>108798101</v>
      </c>
      <c r="F2132" t="s">
        <v>7474</v>
      </c>
      <c r="G2132" t="s">
        <v>42</v>
      </c>
      <c r="H2132" t="s">
        <v>2845</v>
      </c>
      <c r="I2132" t="s">
        <v>7475</v>
      </c>
      <c r="J2132" t="s">
        <v>7476</v>
      </c>
      <c r="K2132" t="str">
        <f>"5208891504"</f>
        <v>5208891504</v>
      </c>
      <c r="L2132" t="str">
        <f>""</f>
        <v/>
      </c>
      <c r="M2132" t="str">
        <f>"5208891540"</f>
        <v>5208891540</v>
      </c>
      <c r="N2132" t="str">
        <f>""</f>
        <v/>
      </c>
      <c r="O2132" t="s">
        <v>7477</v>
      </c>
      <c r="P2132" t="s">
        <v>7478</v>
      </c>
      <c r="R2132" t="s">
        <v>4169</v>
      </c>
      <c r="S2132" t="s">
        <v>36</v>
      </c>
      <c r="T2132" t="str">
        <f>"85706"</f>
        <v>85706</v>
      </c>
      <c r="U2132" t="str">
        <f>""</f>
        <v/>
      </c>
      <c r="V2132" t="s">
        <v>7478</v>
      </c>
      <c r="X2132" t="s">
        <v>4169</v>
      </c>
      <c r="Y2132" t="s">
        <v>36</v>
      </c>
      <c r="Z2132" t="str">
        <f>"85706"</f>
        <v>85706</v>
      </c>
      <c r="AA2132" t="str">
        <f>""</f>
        <v/>
      </c>
      <c r="AB2132" t="s">
        <v>821</v>
      </c>
    </row>
    <row r="2133" spans="1:28" x14ac:dyDescent="0.25">
      <c r="A2133">
        <v>89864</v>
      </c>
      <c r="B2133" t="str">
        <f>"108799000"</f>
        <v>108799000</v>
      </c>
      <c r="C2133" t="s">
        <v>7479</v>
      </c>
      <c r="D2133">
        <v>0</v>
      </c>
      <c r="E2133" t="str">
        <f>""</f>
        <v/>
      </c>
      <c r="G2133" t="s">
        <v>29</v>
      </c>
      <c r="H2133" t="s">
        <v>1375</v>
      </c>
      <c r="I2133" t="s">
        <v>6671</v>
      </c>
      <c r="J2133" t="s">
        <v>6672</v>
      </c>
      <c r="K2133" t="str">
        <f>"5203262528"</f>
        <v>5203262528</v>
      </c>
      <c r="L2133" t="str">
        <f>""</f>
        <v/>
      </c>
      <c r="M2133" t="str">
        <f>""</f>
        <v/>
      </c>
      <c r="N2133" t="str">
        <f>""</f>
        <v/>
      </c>
      <c r="O2133" t="s">
        <v>6673</v>
      </c>
      <c r="P2133" t="s">
        <v>6674</v>
      </c>
      <c r="Q2133" t="s">
        <v>6675</v>
      </c>
      <c r="R2133" t="s">
        <v>4169</v>
      </c>
      <c r="S2133" t="s">
        <v>36</v>
      </c>
      <c r="T2133" t="str">
        <f>"85711"</f>
        <v>85711</v>
      </c>
      <c r="U2133" t="str">
        <f>""</f>
        <v/>
      </c>
      <c r="V2133" t="s">
        <v>6674</v>
      </c>
      <c r="W2133" t="s">
        <v>6675</v>
      </c>
      <c r="X2133" t="s">
        <v>4169</v>
      </c>
      <c r="Y2133" t="s">
        <v>36</v>
      </c>
      <c r="Z2133" t="str">
        <f>"85711"</f>
        <v>85711</v>
      </c>
      <c r="AA2133" t="str">
        <f>""</f>
        <v/>
      </c>
      <c r="AB2133" t="s">
        <v>217</v>
      </c>
    </row>
    <row r="2134" spans="1:28" x14ac:dyDescent="0.25">
      <c r="A2134">
        <v>89864</v>
      </c>
      <c r="B2134" t="str">
        <f>"108799000"</f>
        <v>108799000</v>
      </c>
      <c r="C2134" t="s">
        <v>7479</v>
      </c>
      <c r="D2134">
        <v>89865</v>
      </c>
      <c r="E2134" t="str">
        <f>"108799101"</f>
        <v>108799101</v>
      </c>
      <c r="F2134" t="s">
        <v>7480</v>
      </c>
      <c r="G2134" t="s">
        <v>42</v>
      </c>
      <c r="H2134" t="s">
        <v>1375</v>
      </c>
      <c r="I2134" t="s">
        <v>6671</v>
      </c>
      <c r="J2134" t="s">
        <v>6672</v>
      </c>
      <c r="K2134" t="str">
        <f>"5203262528"</f>
        <v>5203262528</v>
      </c>
      <c r="L2134" t="str">
        <f>""</f>
        <v/>
      </c>
      <c r="M2134" t="str">
        <f>"5203262527"</f>
        <v>5203262527</v>
      </c>
      <c r="N2134" t="str">
        <f>""</f>
        <v/>
      </c>
      <c r="O2134" t="s">
        <v>6673</v>
      </c>
      <c r="P2134" t="s">
        <v>6679</v>
      </c>
      <c r="Q2134" t="s">
        <v>6675</v>
      </c>
      <c r="R2134" t="s">
        <v>4169</v>
      </c>
      <c r="S2134" t="s">
        <v>36</v>
      </c>
      <c r="T2134" t="str">
        <f>"85711"</f>
        <v>85711</v>
      </c>
      <c r="U2134" t="str">
        <f>""</f>
        <v/>
      </c>
      <c r="V2134" t="s">
        <v>7481</v>
      </c>
      <c r="X2134" t="s">
        <v>4169</v>
      </c>
      <c r="Y2134" t="s">
        <v>36</v>
      </c>
      <c r="Z2134" t="str">
        <f>"85705"</f>
        <v>85705</v>
      </c>
      <c r="AA2134" t="str">
        <f>""</f>
        <v/>
      </c>
      <c r="AB2134" t="s">
        <v>217</v>
      </c>
    </row>
    <row r="2135" spans="1:28" x14ac:dyDescent="0.25">
      <c r="A2135">
        <v>89914</v>
      </c>
      <c r="B2135" t="str">
        <f>"108502000"</f>
        <v>108502000</v>
      </c>
      <c r="C2135" t="s">
        <v>7482</v>
      </c>
      <c r="D2135">
        <v>0</v>
      </c>
      <c r="E2135" t="str">
        <f>""</f>
        <v/>
      </c>
      <c r="G2135" t="s">
        <v>29</v>
      </c>
      <c r="H2135" t="s">
        <v>5734</v>
      </c>
      <c r="I2135" t="s">
        <v>7483</v>
      </c>
      <c r="J2135" t="s">
        <v>7484</v>
      </c>
      <c r="K2135" t="str">
        <f>"6022449855"</f>
        <v>6022449855</v>
      </c>
      <c r="L2135" t="str">
        <f>""</f>
        <v/>
      </c>
      <c r="M2135" t="str">
        <f>"6022449856"</f>
        <v>6022449856</v>
      </c>
      <c r="N2135" t="str">
        <f>""</f>
        <v/>
      </c>
      <c r="O2135" t="s">
        <v>7485</v>
      </c>
      <c r="P2135" t="s">
        <v>7486</v>
      </c>
      <c r="R2135" t="s">
        <v>964</v>
      </c>
      <c r="S2135" t="s">
        <v>36</v>
      </c>
      <c r="T2135" t="str">
        <f>"85008"</f>
        <v>85008</v>
      </c>
      <c r="U2135" t="str">
        <f>""</f>
        <v/>
      </c>
      <c r="V2135" t="s">
        <v>7486</v>
      </c>
      <c r="X2135" t="s">
        <v>964</v>
      </c>
      <c r="Y2135" t="s">
        <v>36</v>
      </c>
      <c r="Z2135" t="str">
        <f>"85008"</f>
        <v>85008</v>
      </c>
      <c r="AA2135" t="str">
        <f>""</f>
        <v/>
      </c>
      <c r="AB2135" t="s">
        <v>821</v>
      </c>
    </row>
    <row r="2136" spans="1:28" x14ac:dyDescent="0.25">
      <c r="A2136">
        <v>89914</v>
      </c>
      <c r="B2136" t="str">
        <f>"108502000"</f>
        <v>108502000</v>
      </c>
      <c r="C2136" t="s">
        <v>7482</v>
      </c>
      <c r="D2136">
        <v>80974</v>
      </c>
      <c r="E2136" t="str">
        <f>"108502101"</f>
        <v>108502101</v>
      </c>
      <c r="F2136" t="s">
        <v>7487</v>
      </c>
      <c r="G2136" t="s">
        <v>42</v>
      </c>
      <c r="H2136" t="s">
        <v>5734</v>
      </c>
      <c r="I2136" t="s">
        <v>7483</v>
      </c>
      <c r="J2136" t="s">
        <v>6194</v>
      </c>
      <c r="K2136" t="str">
        <f>"6022449855"</f>
        <v>6022449855</v>
      </c>
      <c r="L2136" t="str">
        <f>""</f>
        <v/>
      </c>
      <c r="M2136" t="str">
        <f>"6022440856"</f>
        <v>6022440856</v>
      </c>
      <c r="N2136" t="str">
        <f>""</f>
        <v/>
      </c>
      <c r="O2136" t="s">
        <v>7485</v>
      </c>
      <c r="P2136" t="s">
        <v>7488</v>
      </c>
      <c r="R2136" t="s">
        <v>964</v>
      </c>
      <c r="S2136" t="s">
        <v>36</v>
      </c>
      <c r="T2136" t="str">
        <f>"85008"</f>
        <v>85008</v>
      </c>
      <c r="U2136" t="str">
        <f>""</f>
        <v/>
      </c>
      <c r="V2136" t="s">
        <v>7488</v>
      </c>
      <c r="X2136" t="s">
        <v>964</v>
      </c>
      <c r="Y2136" t="s">
        <v>36</v>
      </c>
      <c r="Z2136" t="str">
        <f>"85008"</f>
        <v>85008</v>
      </c>
      <c r="AA2136" t="str">
        <f>""</f>
        <v/>
      </c>
      <c r="AB2136" t="s">
        <v>821</v>
      </c>
    </row>
    <row r="2137" spans="1:28" x14ac:dyDescent="0.25">
      <c r="A2137">
        <v>89915</v>
      </c>
      <c r="B2137" t="str">
        <f>"108503000"</f>
        <v>108503000</v>
      </c>
      <c r="C2137" t="s">
        <v>7489</v>
      </c>
      <c r="D2137">
        <v>0</v>
      </c>
      <c r="E2137" t="str">
        <f>""</f>
        <v/>
      </c>
      <c r="G2137" t="s">
        <v>29</v>
      </c>
      <c r="H2137" t="s">
        <v>1618</v>
      </c>
      <c r="I2137" t="s">
        <v>7490</v>
      </c>
      <c r="J2137" t="s">
        <v>301</v>
      </c>
      <c r="K2137" t="str">
        <f>"5207412400"</f>
        <v>5207412400</v>
      </c>
      <c r="L2137" t="str">
        <f>""</f>
        <v/>
      </c>
      <c r="M2137" t="str">
        <f>"5207412451"</f>
        <v>5207412451</v>
      </c>
      <c r="N2137" t="str">
        <f>""</f>
        <v/>
      </c>
      <c r="O2137" t="s">
        <v>7491</v>
      </c>
      <c r="P2137" t="s">
        <v>7492</v>
      </c>
      <c r="R2137" t="s">
        <v>4169</v>
      </c>
      <c r="S2137" t="s">
        <v>36</v>
      </c>
      <c r="T2137" t="str">
        <f>"85730"</f>
        <v>85730</v>
      </c>
      <c r="U2137" t="str">
        <f>""</f>
        <v/>
      </c>
      <c r="V2137" t="s">
        <v>7492</v>
      </c>
      <c r="X2137" t="s">
        <v>4169</v>
      </c>
      <c r="Y2137" t="s">
        <v>36</v>
      </c>
      <c r="Z2137" t="str">
        <f>"85730"</f>
        <v>85730</v>
      </c>
      <c r="AA2137" t="str">
        <f>""</f>
        <v/>
      </c>
      <c r="AB2137" t="s">
        <v>821</v>
      </c>
    </row>
    <row r="2138" spans="1:28" x14ac:dyDescent="0.25">
      <c r="A2138">
        <v>89915</v>
      </c>
      <c r="B2138" t="str">
        <f>"108503000"</f>
        <v>108503000</v>
      </c>
      <c r="C2138" t="s">
        <v>7489</v>
      </c>
      <c r="D2138">
        <v>89916</v>
      </c>
      <c r="E2138" t="str">
        <f>"108503101"</f>
        <v>108503101</v>
      </c>
      <c r="F2138" t="s">
        <v>7493</v>
      </c>
      <c r="G2138" t="s">
        <v>42</v>
      </c>
      <c r="H2138" t="s">
        <v>1618</v>
      </c>
      <c r="I2138" t="s">
        <v>7490</v>
      </c>
      <c r="J2138" t="s">
        <v>6194</v>
      </c>
      <c r="K2138" t="str">
        <f>"5207512401"</f>
        <v>5207512401</v>
      </c>
      <c r="L2138" t="str">
        <f>""</f>
        <v/>
      </c>
      <c r="M2138" t="str">
        <f>"5207512451"</f>
        <v>5207512451</v>
      </c>
      <c r="N2138" t="str">
        <f>""</f>
        <v/>
      </c>
      <c r="O2138" t="s">
        <v>7491</v>
      </c>
      <c r="P2138" t="s">
        <v>7492</v>
      </c>
      <c r="R2138" t="s">
        <v>4169</v>
      </c>
      <c r="S2138" t="s">
        <v>36</v>
      </c>
      <c r="T2138" t="str">
        <f>"85730"</f>
        <v>85730</v>
      </c>
      <c r="U2138" t="str">
        <f>""</f>
        <v/>
      </c>
      <c r="V2138" t="s">
        <v>7492</v>
      </c>
      <c r="X2138" t="s">
        <v>4169</v>
      </c>
      <c r="Y2138" t="s">
        <v>36</v>
      </c>
      <c r="Z2138" t="str">
        <f>"85730"</f>
        <v>85730</v>
      </c>
      <c r="AA2138" t="str">
        <f>""</f>
        <v/>
      </c>
      <c r="AB2138" t="s">
        <v>821</v>
      </c>
    </row>
    <row r="2139" spans="1:28" x14ac:dyDescent="0.25">
      <c r="A2139">
        <v>89917</v>
      </c>
      <c r="B2139" t="str">
        <f>"078544000"</f>
        <v>078544000</v>
      </c>
      <c r="C2139" t="s">
        <v>7494</v>
      </c>
      <c r="D2139">
        <v>0</v>
      </c>
      <c r="E2139" t="str">
        <f>""</f>
        <v/>
      </c>
      <c r="G2139" t="s">
        <v>29</v>
      </c>
      <c r="H2139" t="s">
        <v>7495</v>
      </c>
      <c r="I2139" t="s">
        <v>1405</v>
      </c>
      <c r="J2139" t="s">
        <v>7484</v>
      </c>
      <c r="K2139" t="str">
        <f>"4808141600"</f>
        <v>4808141600</v>
      </c>
      <c r="L2139" t="str">
        <f>""</f>
        <v/>
      </c>
      <c r="M2139" t="str">
        <f>"4808141661"</f>
        <v>4808141661</v>
      </c>
      <c r="N2139" t="str">
        <f>""</f>
        <v/>
      </c>
      <c r="O2139" t="s">
        <v>7496</v>
      </c>
      <c r="P2139" t="s">
        <v>7497</v>
      </c>
      <c r="R2139" t="s">
        <v>1041</v>
      </c>
      <c r="S2139" t="s">
        <v>36</v>
      </c>
      <c r="T2139" t="str">
        <f>"85224"</f>
        <v>85224</v>
      </c>
      <c r="U2139" t="str">
        <f>""</f>
        <v/>
      </c>
      <c r="V2139" t="s">
        <v>7497</v>
      </c>
      <c r="X2139" t="s">
        <v>1041</v>
      </c>
      <c r="Y2139" t="s">
        <v>36</v>
      </c>
      <c r="Z2139" t="str">
        <f>"85224"</f>
        <v>85224</v>
      </c>
      <c r="AA2139" t="str">
        <f>""</f>
        <v/>
      </c>
      <c r="AB2139" t="s">
        <v>821</v>
      </c>
    </row>
    <row r="2140" spans="1:28" x14ac:dyDescent="0.25">
      <c r="A2140">
        <v>89917</v>
      </c>
      <c r="B2140" t="str">
        <f>"078544000"</f>
        <v>078544000</v>
      </c>
      <c r="C2140" t="s">
        <v>7494</v>
      </c>
      <c r="D2140">
        <v>89918</v>
      </c>
      <c r="E2140" t="str">
        <f>"078544101"</f>
        <v>078544101</v>
      </c>
      <c r="F2140" t="s">
        <v>7498</v>
      </c>
      <c r="G2140" t="s">
        <v>42</v>
      </c>
      <c r="H2140" t="s">
        <v>7495</v>
      </c>
      <c r="I2140" t="s">
        <v>1405</v>
      </c>
      <c r="J2140" t="s">
        <v>7499</v>
      </c>
      <c r="K2140" t="str">
        <f>"4808141600"</f>
        <v>4808141600</v>
      </c>
      <c r="L2140" t="str">
        <f>""</f>
        <v/>
      </c>
      <c r="M2140" t="str">
        <f>"4808141661"</f>
        <v>4808141661</v>
      </c>
      <c r="N2140" t="str">
        <f>""</f>
        <v/>
      </c>
      <c r="O2140" t="s">
        <v>7496</v>
      </c>
      <c r="P2140" t="s">
        <v>7497</v>
      </c>
      <c r="R2140" t="s">
        <v>1041</v>
      </c>
      <c r="S2140" t="s">
        <v>36</v>
      </c>
      <c r="T2140" t="str">
        <f>"85224"</f>
        <v>85224</v>
      </c>
      <c r="U2140" t="str">
        <f>""</f>
        <v/>
      </c>
      <c r="V2140" t="s">
        <v>7497</v>
      </c>
      <c r="X2140" t="s">
        <v>1041</v>
      </c>
      <c r="Y2140" t="s">
        <v>36</v>
      </c>
      <c r="Z2140" t="str">
        <f>"85224"</f>
        <v>85224</v>
      </c>
      <c r="AA2140" t="str">
        <f>""</f>
        <v/>
      </c>
      <c r="AB2140" t="s">
        <v>821</v>
      </c>
    </row>
    <row r="2141" spans="1:28" x14ac:dyDescent="0.25">
      <c r="A2141">
        <v>89949</v>
      </c>
      <c r="B2141" t="str">
        <f t="shared" ref="B2141:B2147" si="313">"078546000"</f>
        <v>078546000</v>
      </c>
      <c r="C2141" t="s">
        <v>7500</v>
      </c>
      <c r="D2141">
        <v>0</v>
      </c>
      <c r="E2141" t="str">
        <f>""</f>
        <v/>
      </c>
      <c r="G2141" t="s">
        <v>29</v>
      </c>
      <c r="H2141" t="s">
        <v>7501</v>
      </c>
      <c r="I2141" t="s">
        <v>7502</v>
      </c>
      <c r="J2141" t="s">
        <v>7503</v>
      </c>
      <c r="K2141" t="str">
        <f>"4807276215"</f>
        <v>4807276215</v>
      </c>
      <c r="L2141" t="str">
        <f>""</f>
        <v/>
      </c>
      <c r="M2141" t="str">
        <f>"6022574852"</f>
        <v>6022574852</v>
      </c>
      <c r="N2141" t="str">
        <f>""</f>
        <v/>
      </c>
      <c r="O2141" t="s">
        <v>7504</v>
      </c>
      <c r="P2141" t="s">
        <v>7505</v>
      </c>
      <c r="R2141" t="s">
        <v>964</v>
      </c>
      <c r="S2141" t="s">
        <v>36</v>
      </c>
      <c r="T2141" t="str">
        <f>"85006"</f>
        <v>85006</v>
      </c>
      <c r="U2141" t="str">
        <f>""</f>
        <v/>
      </c>
      <c r="V2141" t="s">
        <v>7505</v>
      </c>
      <c r="X2141" t="s">
        <v>964</v>
      </c>
      <c r="Y2141" t="s">
        <v>36</v>
      </c>
      <c r="Z2141" t="str">
        <f>"85006"</f>
        <v>85006</v>
      </c>
      <c r="AA2141" t="str">
        <f>""</f>
        <v/>
      </c>
      <c r="AB2141" t="s">
        <v>265</v>
      </c>
    </row>
    <row r="2142" spans="1:28" x14ac:dyDescent="0.25">
      <c r="A2142">
        <v>89949</v>
      </c>
      <c r="B2142" t="str">
        <f t="shared" si="313"/>
        <v>078546000</v>
      </c>
      <c r="C2142" t="s">
        <v>7500</v>
      </c>
      <c r="D2142">
        <v>70692</v>
      </c>
      <c r="E2142" t="str">
        <f>"078267001"</f>
        <v>078267001</v>
      </c>
      <c r="F2142" t="s">
        <v>7506</v>
      </c>
      <c r="G2142" t="s">
        <v>42</v>
      </c>
      <c r="H2142" t="s">
        <v>7507</v>
      </c>
      <c r="I2142" t="s">
        <v>7508</v>
      </c>
      <c r="J2142" t="s">
        <v>7509</v>
      </c>
      <c r="K2142" t="str">
        <f t="shared" ref="K2142:K2147" si="314">"6024963126"</f>
        <v>6024963126</v>
      </c>
      <c r="L2142" t="str">
        <f>""</f>
        <v/>
      </c>
      <c r="M2142" t="str">
        <f>"6022574852"</f>
        <v>6022574852</v>
      </c>
      <c r="N2142" t="str">
        <f>""</f>
        <v/>
      </c>
      <c r="O2142" t="s">
        <v>7510</v>
      </c>
      <c r="P2142" t="s">
        <v>7511</v>
      </c>
      <c r="R2142" t="s">
        <v>964</v>
      </c>
      <c r="S2142" t="s">
        <v>36</v>
      </c>
      <c r="T2142" t="str">
        <f>"85006"</f>
        <v>85006</v>
      </c>
      <c r="U2142" t="str">
        <f>""</f>
        <v/>
      </c>
      <c r="V2142" t="s">
        <v>7511</v>
      </c>
      <c r="X2142" t="s">
        <v>964</v>
      </c>
      <c r="Y2142" t="s">
        <v>36</v>
      </c>
      <c r="Z2142" t="str">
        <f>"85006"</f>
        <v>85006</v>
      </c>
      <c r="AA2142" t="str">
        <f>""</f>
        <v/>
      </c>
      <c r="AB2142" t="s">
        <v>265</v>
      </c>
    </row>
    <row r="2143" spans="1:28" x14ac:dyDescent="0.25">
      <c r="A2143">
        <v>89949</v>
      </c>
      <c r="B2143" t="str">
        <f t="shared" si="313"/>
        <v>078546000</v>
      </c>
      <c r="C2143" t="s">
        <v>7500</v>
      </c>
      <c r="D2143">
        <v>90271</v>
      </c>
      <c r="E2143" t="str">
        <f>"078546102"</f>
        <v>078546102</v>
      </c>
      <c r="F2143" t="s">
        <v>7512</v>
      </c>
      <c r="G2143" t="s">
        <v>42</v>
      </c>
      <c r="H2143" t="s">
        <v>7507</v>
      </c>
      <c r="I2143" t="s">
        <v>7508</v>
      </c>
      <c r="J2143" t="s">
        <v>3176</v>
      </c>
      <c r="K2143" t="str">
        <f t="shared" si="314"/>
        <v>6024963126</v>
      </c>
      <c r="L2143" t="str">
        <f>""</f>
        <v/>
      </c>
      <c r="M2143" t="str">
        <f>""</f>
        <v/>
      </c>
      <c r="N2143" t="str">
        <f>""</f>
        <v/>
      </c>
      <c r="O2143" t="s">
        <v>7510</v>
      </c>
      <c r="P2143" t="s">
        <v>7505</v>
      </c>
      <c r="R2143" t="s">
        <v>964</v>
      </c>
      <c r="S2143" t="s">
        <v>36</v>
      </c>
      <c r="T2143" t="str">
        <f>"85006"</f>
        <v>85006</v>
      </c>
      <c r="U2143" t="str">
        <f>""</f>
        <v/>
      </c>
      <c r="V2143" t="s">
        <v>7505</v>
      </c>
      <c r="X2143" t="s">
        <v>964</v>
      </c>
      <c r="Y2143" t="s">
        <v>36</v>
      </c>
      <c r="Z2143" t="str">
        <f>"85006"</f>
        <v>85006</v>
      </c>
      <c r="AA2143" t="str">
        <f>""</f>
        <v/>
      </c>
      <c r="AB2143" t="s">
        <v>265</v>
      </c>
    </row>
    <row r="2144" spans="1:28" x14ac:dyDescent="0.25">
      <c r="A2144">
        <v>89949</v>
      </c>
      <c r="B2144" t="str">
        <f t="shared" si="313"/>
        <v>078546000</v>
      </c>
      <c r="C2144" t="s">
        <v>7500</v>
      </c>
      <c r="D2144">
        <v>90274</v>
      </c>
      <c r="E2144" t="str">
        <f>"078559001"</f>
        <v>078559001</v>
      </c>
      <c r="F2144" t="s">
        <v>7513</v>
      </c>
      <c r="G2144" t="s">
        <v>42</v>
      </c>
      <c r="H2144" t="s">
        <v>7507</v>
      </c>
      <c r="I2144" t="s">
        <v>7508</v>
      </c>
      <c r="J2144" t="s">
        <v>7509</v>
      </c>
      <c r="K2144" t="str">
        <f t="shared" si="314"/>
        <v>6024963126</v>
      </c>
      <c r="L2144" t="str">
        <f>""</f>
        <v/>
      </c>
      <c r="M2144" t="str">
        <f>"6022574852"</f>
        <v>6022574852</v>
      </c>
      <c r="N2144" t="str">
        <f>""</f>
        <v/>
      </c>
      <c r="O2144" t="s">
        <v>7510</v>
      </c>
      <c r="P2144" t="s">
        <v>7514</v>
      </c>
      <c r="R2144" t="s">
        <v>964</v>
      </c>
      <c r="S2144" t="s">
        <v>36</v>
      </c>
      <c r="T2144" t="str">
        <f>"85040"</f>
        <v>85040</v>
      </c>
      <c r="U2144" t="str">
        <f>""</f>
        <v/>
      </c>
      <c r="V2144" t="s">
        <v>7514</v>
      </c>
      <c r="X2144" t="s">
        <v>964</v>
      </c>
      <c r="Y2144" t="s">
        <v>36</v>
      </c>
      <c r="Z2144" t="str">
        <f>"85040"</f>
        <v>85040</v>
      </c>
      <c r="AA2144" t="str">
        <f>""</f>
        <v/>
      </c>
      <c r="AB2144" t="s">
        <v>265</v>
      </c>
    </row>
    <row r="2145" spans="1:28" x14ac:dyDescent="0.25">
      <c r="A2145">
        <v>89949</v>
      </c>
      <c r="B2145" t="str">
        <f t="shared" si="313"/>
        <v>078546000</v>
      </c>
      <c r="C2145" t="s">
        <v>7500</v>
      </c>
      <c r="D2145">
        <v>91304</v>
      </c>
      <c r="E2145" t="str">
        <f>"078207001"</f>
        <v>078207001</v>
      </c>
      <c r="F2145" t="s">
        <v>7515</v>
      </c>
      <c r="G2145" t="s">
        <v>42</v>
      </c>
      <c r="H2145" t="s">
        <v>7507</v>
      </c>
      <c r="I2145" t="s">
        <v>7516</v>
      </c>
      <c r="J2145" t="s">
        <v>7509</v>
      </c>
      <c r="K2145" t="str">
        <f t="shared" si="314"/>
        <v>6024963126</v>
      </c>
      <c r="L2145" t="str">
        <f>""</f>
        <v/>
      </c>
      <c r="M2145" t="str">
        <f>"6022574852"</f>
        <v>6022574852</v>
      </c>
      <c r="N2145" t="str">
        <f>""</f>
        <v/>
      </c>
      <c r="O2145" t="s">
        <v>7510</v>
      </c>
      <c r="P2145" t="s">
        <v>7517</v>
      </c>
      <c r="R2145" t="s">
        <v>964</v>
      </c>
      <c r="S2145" t="s">
        <v>36</v>
      </c>
      <c r="T2145" t="str">
        <f>"85006"</f>
        <v>85006</v>
      </c>
      <c r="U2145" t="str">
        <f>""</f>
        <v/>
      </c>
      <c r="V2145" t="s">
        <v>7517</v>
      </c>
      <c r="X2145" t="s">
        <v>964</v>
      </c>
      <c r="Y2145" t="s">
        <v>36</v>
      </c>
      <c r="Z2145" t="str">
        <f>"85006"</f>
        <v>85006</v>
      </c>
      <c r="AA2145" t="str">
        <f>""</f>
        <v/>
      </c>
      <c r="AB2145" t="s">
        <v>265</v>
      </c>
    </row>
    <row r="2146" spans="1:28" x14ac:dyDescent="0.25">
      <c r="A2146">
        <v>89949</v>
      </c>
      <c r="B2146" t="str">
        <f t="shared" si="313"/>
        <v>078546000</v>
      </c>
      <c r="C2146" t="s">
        <v>7500</v>
      </c>
      <c r="D2146">
        <v>92248</v>
      </c>
      <c r="E2146" t="str">
        <f>"078277001"</f>
        <v>078277001</v>
      </c>
      <c r="F2146" t="s">
        <v>7518</v>
      </c>
      <c r="G2146" t="s">
        <v>42</v>
      </c>
      <c r="H2146" t="s">
        <v>7507</v>
      </c>
      <c r="I2146" t="s">
        <v>7508</v>
      </c>
      <c r="J2146" t="s">
        <v>7509</v>
      </c>
      <c r="K2146" t="str">
        <f t="shared" si="314"/>
        <v>6024963126</v>
      </c>
      <c r="L2146" t="str">
        <f>""</f>
        <v/>
      </c>
      <c r="M2146" t="str">
        <f>"6052574852"</f>
        <v>6052574852</v>
      </c>
      <c r="N2146" t="str">
        <f>""</f>
        <v/>
      </c>
      <c r="O2146" t="s">
        <v>7510</v>
      </c>
      <c r="P2146" t="s">
        <v>7519</v>
      </c>
      <c r="R2146" t="s">
        <v>964</v>
      </c>
      <c r="S2146" t="s">
        <v>36</v>
      </c>
      <c r="T2146" t="str">
        <f>"85040"</f>
        <v>85040</v>
      </c>
      <c r="U2146" t="str">
        <f>""</f>
        <v/>
      </c>
      <c r="V2146" t="s">
        <v>7519</v>
      </c>
      <c r="X2146" t="s">
        <v>964</v>
      </c>
      <c r="Y2146" t="s">
        <v>36</v>
      </c>
      <c r="Z2146" t="str">
        <f>"85040"</f>
        <v>85040</v>
      </c>
      <c r="AA2146" t="str">
        <f>""</f>
        <v/>
      </c>
      <c r="AB2146" t="s">
        <v>265</v>
      </c>
    </row>
    <row r="2147" spans="1:28" x14ac:dyDescent="0.25">
      <c r="A2147">
        <v>89949</v>
      </c>
      <c r="B2147" t="str">
        <f t="shared" si="313"/>
        <v>078546000</v>
      </c>
      <c r="C2147" t="s">
        <v>7500</v>
      </c>
      <c r="D2147">
        <v>92326</v>
      </c>
      <c r="E2147" t="str">
        <f>"078250001"</f>
        <v>078250001</v>
      </c>
      <c r="F2147" t="s">
        <v>7520</v>
      </c>
      <c r="G2147" t="s">
        <v>42</v>
      </c>
      <c r="H2147" t="s">
        <v>7507</v>
      </c>
      <c r="I2147" t="s">
        <v>7508</v>
      </c>
      <c r="J2147" t="s">
        <v>7509</v>
      </c>
      <c r="K2147" t="str">
        <f t="shared" si="314"/>
        <v>6024963126</v>
      </c>
      <c r="L2147" t="str">
        <f>""</f>
        <v/>
      </c>
      <c r="M2147" t="str">
        <f>"6022574852"</f>
        <v>6022574852</v>
      </c>
      <c r="N2147" t="str">
        <f>""</f>
        <v/>
      </c>
      <c r="O2147" t="s">
        <v>7510</v>
      </c>
      <c r="P2147" t="s">
        <v>7517</v>
      </c>
      <c r="R2147" t="s">
        <v>964</v>
      </c>
      <c r="S2147" t="s">
        <v>36</v>
      </c>
      <c r="T2147" t="str">
        <f>"85006"</f>
        <v>85006</v>
      </c>
      <c r="U2147" t="str">
        <f>""</f>
        <v/>
      </c>
      <c r="V2147" t="s">
        <v>7517</v>
      </c>
      <c r="X2147" t="s">
        <v>964</v>
      </c>
      <c r="Y2147" t="s">
        <v>36</v>
      </c>
      <c r="Z2147" t="str">
        <f>"85006"</f>
        <v>85006</v>
      </c>
      <c r="AA2147" t="str">
        <f>""</f>
        <v/>
      </c>
      <c r="AB2147" t="s">
        <v>265</v>
      </c>
    </row>
    <row r="2148" spans="1:28" x14ac:dyDescent="0.25">
      <c r="A2148">
        <v>90034</v>
      </c>
      <c r="B2148" t="str">
        <f>"078547000"</f>
        <v>078547000</v>
      </c>
      <c r="C2148" t="s">
        <v>7521</v>
      </c>
      <c r="D2148">
        <v>0</v>
      </c>
      <c r="E2148" t="str">
        <f>""</f>
        <v/>
      </c>
      <c r="G2148" t="s">
        <v>29</v>
      </c>
      <c r="H2148" t="s">
        <v>6179</v>
      </c>
      <c r="I2148" t="s">
        <v>6180</v>
      </c>
      <c r="J2148" t="s">
        <v>6181</v>
      </c>
      <c r="K2148" t="str">
        <f>"4805007059"</f>
        <v>4805007059</v>
      </c>
      <c r="L2148" t="str">
        <f>""</f>
        <v/>
      </c>
      <c r="M2148" t="str">
        <f>""</f>
        <v/>
      </c>
      <c r="N2148" t="str">
        <f>""</f>
        <v/>
      </c>
      <c r="O2148" t="s">
        <v>6182</v>
      </c>
      <c r="P2148" t="s">
        <v>6183</v>
      </c>
      <c r="R2148" t="s">
        <v>964</v>
      </c>
      <c r="S2148" t="s">
        <v>36</v>
      </c>
      <c r="T2148" t="str">
        <f>"85035"</f>
        <v>85035</v>
      </c>
      <c r="U2148" t="str">
        <f>""</f>
        <v/>
      </c>
      <c r="V2148" t="s">
        <v>7522</v>
      </c>
      <c r="X2148" t="s">
        <v>4886</v>
      </c>
      <c r="Y2148" t="s">
        <v>36</v>
      </c>
      <c r="Z2148" t="str">
        <f>"85128"</f>
        <v>85128</v>
      </c>
      <c r="AA2148" t="str">
        <f>""</f>
        <v/>
      </c>
      <c r="AB2148" t="s">
        <v>1166</v>
      </c>
    </row>
    <row r="2149" spans="1:28" x14ac:dyDescent="0.25">
      <c r="A2149">
        <v>90034</v>
      </c>
      <c r="B2149" t="str">
        <f>"078547000"</f>
        <v>078547000</v>
      </c>
      <c r="C2149" t="s">
        <v>7521</v>
      </c>
      <c r="D2149">
        <v>90035</v>
      </c>
      <c r="E2149" t="str">
        <f>"078547101"</f>
        <v>078547101</v>
      </c>
      <c r="F2149" t="s">
        <v>7523</v>
      </c>
      <c r="G2149" t="s">
        <v>42</v>
      </c>
      <c r="H2149" t="s">
        <v>1862</v>
      </c>
      <c r="I2149" t="s">
        <v>2619</v>
      </c>
      <c r="J2149" t="s">
        <v>301</v>
      </c>
      <c r="K2149" t="str">
        <f>"5207235391"</f>
        <v>5207235391</v>
      </c>
      <c r="L2149" t="str">
        <f>""</f>
        <v/>
      </c>
      <c r="M2149" t="str">
        <f>"5207235491"</f>
        <v>5207235491</v>
      </c>
      <c r="N2149" t="str">
        <f>""</f>
        <v/>
      </c>
      <c r="O2149" t="s">
        <v>7524</v>
      </c>
      <c r="P2149" t="s">
        <v>6183</v>
      </c>
      <c r="R2149" t="s">
        <v>964</v>
      </c>
      <c r="S2149" t="s">
        <v>36</v>
      </c>
      <c r="T2149" t="str">
        <f>"85035"</f>
        <v>85035</v>
      </c>
      <c r="U2149" t="str">
        <f>""</f>
        <v/>
      </c>
      <c r="V2149" t="s">
        <v>7525</v>
      </c>
      <c r="W2149" t="s">
        <v>7526</v>
      </c>
      <c r="X2149" t="s">
        <v>4886</v>
      </c>
      <c r="Y2149" t="s">
        <v>36</v>
      </c>
      <c r="Z2149" t="str">
        <f>"85228"</f>
        <v>85228</v>
      </c>
      <c r="AA2149" t="str">
        <f>""</f>
        <v/>
      </c>
      <c r="AB2149" t="s">
        <v>1166</v>
      </c>
    </row>
    <row r="2150" spans="1:28" x14ac:dyDescent="0.25">
      <c r="A2150">
        <v>90036</v>
      </c>
      <c r="B2150" t="str">
        <f>"078548000"</f>
        <v>078548000</v>
      </c>
      <c r="C2150" t="s">
        <v>7527</v>
      </c>
      <c r="D2150">
        <v>0</v>
      </c>
      <c r="E2150" t="str">
        <f>""</f>
        <v/>
      </c>
      <c r="G2150" t="s">
        <v>29</v>
      </c>
      <c r="H2150" t="s">
        <v>1681</v>
      </c>
      <c r="I2150" t="s">
        <v>7528</v>
      </c>
      <c r="J2150" t="s">
        <v>7529</v>
      </c>
      <c r="K2150" t="str">
        <f>"6022853003"</f>
        <v>6022853003</v>
      </c>
      <c r="L2150" t="str">
        <f>""</f>
        <v/>
      </c>
      <c r="M2150" t="str">
        <f>"6022855560"</f>
        <v>6022855560</v>
      </c>
      <c r="N2150" t="str">
        <f>""</f>
        <v/>
      </c>
      <c r="O2150" t="s">
        <v>7530</v>
      </c>
      <c r="P2150" t="s">
        <v>7531</v>
      </c>
      <c r="R2150" t="s">
        <v>2997</v>
      </c>
      <c r="S2150" t="s">
        <v>36</v>
      </c>
      <c r="T2150" t="str">
        <f>"85339"</f>
        <v>85339</v>
      </c>
      <c r="U2150" t="str">
        <f>""</f>
        <v/>
      </c>
      <c r="V2150" t="s">
        <v>7531</v>
      </c>
      <c r="X2150" t="s">
        <v>2997</v>
      </c>
      <c r="Y2150" t="s">
        <v>36</v>
      </c>
      <c r="Z2150" t="str">
        <f>"85339"</f>
        <v>85339</v>
      </c>
      <c r="AA2150" t="str">
        <f>""</f>
        <v/>
      </c>
      <c r="AB2150" t="s">
        <v>2345</v>
      </c>
    </row>
    <row r="2151" spans="1:28" x14ac:dyDescent="0.25">
      <c r="A2151">
        <v>90036</v>
      </c>
      <c r="B2151" t="str">
        <f>"078548000"</f>
        <v>078548000</v>
      </c>
      <c r="C2151" t="s">
        <v>7527</v>
      </c>
      <c r="D2151">
        <v>90037</v>
      </c>
      <c r="E2151" t="str">
        <f>"078548101"</f>
        <v>078548101</v>
      </c>
      <c r="F2151" t="s">
        <v>7532</v>
      </c>
      <c r="G2151" t="s">
        <v>42</v>
      </c>
      <c r="H2151" t="s">
        <v>7533</v>
      </c>
      <c r="I2151" t="s">
        <v>7534</v>
      </c>
      <c r="J2151" t="s">
        <v>195</v>
      </c>
      <c r="K2151" t="str">
        <f>"6022853003"</f>
        <v>6022853003</v>
      </c>
      <c r="L2151" t="str">
        <f>""</f>
        <v/>
      </c>
      <c r="M2151" t="str">
        <f>"6022855560"</f>
        <v>6022855560</v>
      </c>
      <c r="N2151" t="str">
        <f>""</f>
        <v/>
      </c>
      <c r="O2151" t="s">
        <v>7535</v>
      </c>
      <c r="P2151" t="s">
        <v>7531</v>
      </c>
      <c r="R2151" t="s">
        <v>2997</v>
      </c>
      <c r="S2151" t="s">
        <v>36</v>
      </c>
      <c r="T2151" t="str">
        <f>"85339"</f>
        <v>85339</v>
      </c>
      <c r="U2151" t="str">
        <f>""</f>
        <v/>
      </c>
      <c r="V2151" t="s">
        <v>7531</v>
      </c>
      <c r="X2151" t="s">
        <v>2997</v>
      </c>
      <c r="Y2151" t="s">
        <v>36</v>
      </c>
      <c r="Z2151" t="str">
        <f>"85339"</f>
        <v>85339</v>
      </c>
      <c r="AA2151" t="str">
        <f>""</f>
        <v/>
      </c>
      <c r="AB2151" t="s">
        <v>2345</v>
      </c>
    </row>
    <row r="2152" spans="1:28" x14ac:dyDescent="0.25">
      <c r="A2152">
        <v>90039</v>
      </c>
      <c r="B2152" t="str">
        <f>"072785000"</f>
        <v>072785000</v>
      </c>
      <c r="C2152" t="s">
        <v>7536</v>
      </c>
      <c r="D2152">
        <v>0</v>
      </c>
      <c r="E2152" t="str">
        <f>""</f>
        <v/>
      </c>
      <c r="G2152" t="s">
        <v>29</v>
      </c>
      <c r="H2152" t="s">
        <v>5640</v>
      </c>
      <c r="I2152" t="s">
        <v>3097</v>
      </c>
      <c r="J2152" t="s">
        <v>7537</v>
      </c>
      <c r="K2152" t="str">
        <f>"6029992400"</f>
        <v>6029992400</v>
      </c>
      <c r="L2152" t="str">
        <f>""</f>
        <v/>
      </c>
      <c r="M2152" t="str">
        <f>"6234447829"</f>
        <v>6234447829</v>
      </c>
      <c r="N2152" t="str">
        <f>""</f>
        <v/>
      </c>
      <c r="O2152" t="s">
        <v>7538</v>
      </c>
      <c r="P2152" t="s">
        <v>7539</v>
      </c>
      <c r="R2152" t="s">
        <v>964</v>
      </c>
      <c r="S2152" t="s">
        <v>36</v>
      </c>
      <c r="T2152" t="str">
        <f>"85066"</f>
        <v>85066</v>
      </c>
      <c r="U2152" t="str">
        <f>""</f>
        <v/>
      </c>
      <c r="V2152" t="s">
        <v>7540</v>
      </c>
      <c r="X2152" t="s">
        <v>964</v>
      </c>
      <c r="Y2152" t="s">
        <v>36</v>
      </c>
      <c r="Z2152" t="str">
        <f>"85035"</f>
        <v>85035</v>
      </c>
      <c r="AA2152" t="str">
        <f>""</f>
        <v/>
      </c>
      <c r="AB2152" t="s">
        <v>3741</v>
      </c>
    </row>
    <row r="2153" spans="1:28" x14ac:dyDescent="0.25">
      <c r="A2153">
        <v>90039</v>
      </c>
      <c r="B2153" t="str">
        <f>"072785000"</f>
        <v>072785000</v>
      </c>
      <c r="C2153" t="s">
        <v>7536</v>
      </c>
      <c r="D2153">
        <v>90040</v>
      </c>
      <c r="E2153" t="str">
        <f>"072785001"</f>
        <v>072785001</v>
      </c>
      <c r="F2153" t="s">
        <v>7541</v>
      </c>
      <c r="G2153" t="s">
        <v>42</v>
      </c>
      <c r="H2153" t="s">
        <v>1688</v>
      </c>
      <c r="I2153" t="s">
        <v>7542</v>
      </c>
      <c r="J2153" t="s">
        <v>7278</v>
      </c>
      <c r="K2153" t="str">
        <f>"6235189552"</f>
        <v>6235189552</v>
      </c>
      <c r="L2153" t="str">
        <f>""</f>
        <v/>
      </c>
      <c r="M2153" t="str">
        <f>"6234447829"</f>
        <v>6234447829</v>
      </c>
      <c r="N2153" t="str">
        <f>""</f>
        <v/>
      </c>
      <c r="O2153" t="s">
        <v>7543</v>
      </c>
      <c r="P2153" t="s">
        <v>7544</v>
      </c>
      <c r="R2153" t="s">
        <v>964</v>
      </c>
      <c r="S2153" t="s">
        <v>36</v>
      </c>
      <c r="T2153" t="str">
        <f>"85066"</f>
        <v>85066</v>
      </c>
      <c r="U2153" t="str">
        <f>""</f>
        <v/>
      </c>
      <c r="V2153" t="s">
        <v>7540</v>
      </c>
      <c r="X2153" t="s">
        <v>964</v>
      </c>
      <c r="Y2153" t="s">
        <v>36</v>
      </c>
      <c r="Z2153" t="str">
        <f>"85035"</f>
        <v>85035</v>
      </c>
      <c r="AA2153" t="str">
        <f>""</f>
        <v/>
      </c>
      <c r="AB2153" t="s">
        <v>3741</v>
      </c>
    </row>
    <row r="2154" spans="1:28" x14ac:dyDescent="0.25">
      <c r="A2154">
        <v>90039</v>
      </c>
      <c r="B2154" t="str">
        <f>"072785000"</f>
        <v>072785000</v>
      </c>
      <c r="C2154" t="s">
        <v>7536</v>
      </c>
      <c r="D2154">
        <v>90042</v>
      </c>
      <c r="E2154" t="str">
        <f>"072785003"</f>
        <v>072785003</v>
      </c>
      <c r="F2154" t="s">
        <v>7545</v>
      </c>
      <c r="G2154" t="s">
        <v>42</v>
      </c>
      <c r="H2154" t="s">
        <v>1688</v>
      </c>
      <c r="I2154" t="s">
        <v>7542</v>
      </c>
      <c r="J2154" t="s">
        <v>7278</v>
      </c>
      <c r="K2154" t="str">
        <f>"6235189552"</f>
        <v>6235189552</v>
      </c>
      <c r="L2154" t="str">
        <f>""</f>
        <v/>
      </c>
      <c r="M2154" t="str">
        <f>"6234447829"</f>
        <v>6234447829</v>
      </c>
      <c r="N2154" t="str">
        <f>""</f>
        <v/>
      </c>
      <c r="O2154" t="s">
        <v>7543</v>
      </c>
      <c r="P2154" t="s">
        <v>7544</v>
      </c>
      <c r="R2154" t="s">
        <v>964</v>
      </c>
      <c r="S2154" t="s">
        <v>36</v>
      </c>
      <c r="T2154" t="str">
        <f>"85066"</f>
        <v>85066</v>
      </c>
      <c r="U2154" t="str">
        <f>""</f>
        <v/>
      </c>
      <c r="V2154" t="s">
        <v>7546</v>
      </c>
      <c r="X2154" t="s">
        <v>964</v>
      </c>
      <c r="Y2154" t="s">
        <v>36</v>
      </c>
      <c r="Z2154" t="str">
        <f>"85033"</f>
        <v>85033</v>
      </c>
      <c r="AA2154" t="str">
        <f>""</f>
        <v/>
      </c>
      <c r="AB2154" t="s">
        <v>3741</v>
      </c>
    </row>
    <row r="2155" spans="1:28" x14ac:dyDescent="0.25">
      <c r="A2155">
        <v>90039</v>
      </c>
      <c r="B2155" t="str">
        <f>"072785000"</f>
        <v>072785000</v>
      </c>
      <c r="C2155" t="s">
        <v>7536</v>
      </c>
      <c r="D2155">
        <v>90544</v>
      </c>
      <c r="E2155" t="str">
        <f>"072785005"</f>
        <v>072785005</v>
      </c>
      <c r="F2155" t="s">
        <v>7547</v>
      </c>
      <c r="G2155" t="s">
        <v>42</v>
      </c>
      <c r="H2155" t="s">
        <v>1688</v>
      </c>
      <c r="I2155" t="s">
        <v>7542</v>
      </c>
      <c r="J2155" t="s">
        <v>7278</v>
      </c>
      <c r="K2155" t="str">
        <f>"6235189552"</f>
        <v>6235189552</v>
      </c>
      <c r="L2155" t="str">
        <f>""</f>
        <v/>
      </c>
      <c r="M2155" t="str">
        <f>"6234447829"</f>
        <v>6234447829</v>
      </c>
      <c r="N2155" t="str">
        <f>""</f>
        <v/>
      </c>
      <c r="O2155" t="s">
        <v>7543</v>
      </c>
      <c r="P2155" t="s">
        <v>7539</v>
      </c>
      <c r="R2155" t="s">
        <v>964</v>
      </c>
      <c r="S2155" t="s">
        <v>36</v>
      </c>
      <c r="T2155" t="str">
        <f>"85066"</f>
        <v>85066</v>
      </c>
      <c r="U2155" t="str">
        <f>""</f>
        <v/>
      </c>
      <c r="V2155" t="s">
        <v>7548</v>
      </c>
      <c r="X2155" t="s">
        <v>964</v>
      </c>
      <c r="Y2155" t="s">
        <v>36</v>
      </c>
      <c r="Z2155" t="str">
        <f>"85027"</f>
        <v>85027</v>
      </c>
      <c r="AA2155" t="str">
        <f>""</f>
        <v/>
      </c>
      <c r="AB2155" t="s">
        <v>3741</v>
      </c>
    </row>
    <row r="2156" spans="1:28" x14ac:dyDescent="0.25">
      <c r="A2156">
        <v>90048</v>
      </c>
      <c r="B2156" t="str">
        <f>"132116000"</f>
        <v>132116000</v>
      </c>
      <c r="C2156" t="s">
        <v>7549</v>
      </c>
      <c r="D2156">
        <v>0</v>
      </c>
      <c r="E2156" t="str">
        <f>""</f>
        <v/>
      </c>
      <c r="G2156" t="s">
        <v>29</v>
      </c>
      <c r="H2156" t="s">
        <v>3485</v>
      </c>
      <c r="I2156" t="s">
        <v>7550</v>
      </c>
      <c r="J2156" t="s">
        <v>7551</v>
      </c>
      <c r="K2156" t="str">
        <f>"6023352060"</f>
        <v>6023352060</v>
      </c>
      <c r="L2156" t="str">
        <f>""</f>
        <v/>
      </c>
      <c r="M2156" t="str">
        <f>"6027736635"</f>
        <v>6027736635</v>
      </c>
      <c r="N2156" t="str">
        <f>""</f>
        <v/>
      </c>
      <c r="O2156" t="s">
        <v>7552</v>
      </c>
      <c r="P2156" t="s">
        <v>7553</v>
      </c>
      <c r="R2156" t="s">
        <v>7554</v>
      </c>
      <c r="S2156" t="s">
        <v>36</v>
      </c>
      <c r="T2156" t="str">
        <f>"86312"</f>
        <v>86312</v>
      </c>
      <c r="U2156" t="str">
        <f>""</f>
        <v/>
      </c>
      <c r="V2156" t="s">
        <v>7555</v>
      </c>
      <c r="X2156" t="s">
        <v>5277</v>
      </c>
      <c r="Y2156" t="s">
        <v>36</v>
      </c>
      <c r="Z2156" t="str">
        <f>"86315"</f>
        <v>86315</v>
      </c>
      <c r="AA2156" t="str">
        <f>""</f>
        <v/>
      </c>
      <c r="AB2156" t="s">
        <v>217</v>
      </c>
    </row>
    <row r="2157" spans="1:28" x14ac:dyDescent="0.25">
      <c r="A2157">
        <v>90048</v>
      </c>
      <c r="B2157" t="str">
        <f>"132116000"</f>
        <v>132116000</v>
      </c>
      <c r="C2157" t="s">
        <v>7549</v>
      </c>
      <c r="D2157">
        <v>90049</v>
      </c>
      <c r="E2157" t="str">
        <f>"132116001"</f>
        <v>132116001</v>
      </c>
      <c r="F2157" t="s">
        <v>7556</v>
      </c>
      <c r="G2157" t="s">
        <v>42</v>
      </c>
      <c r="H2157" t="s">
        <v>3485</v>
      </c>
      <c r="I2157" t="s">
        <v>7550</v>
      </c>
      <c r="J2157" t="s">
        <v>7551</v>
      </c>
      <c r="K2157" t="str">
        <f>"9283352000"</f>
        <v>9283352000</v>
      </c>
      <c r="L2157" t="str">
        <f>"2060"</f>
        <v>2060</v>
      </c>
      <c r="M2157" t="str">
        <f>"6027736635"</f>
        <v>6027736635</v>
      </c>
      <c r="N2157" t="str">
        <f>""</f>
        <v/>
      </c>
      <c r="O2157" t="s">
        <v>7552</v>
      </c>
      <c r="P2157" t="s">
        <v>7553</v>
      </c>
      <c r="R2157" t="s">
        <v>5277</v>
      </c>
      <c r="S2157" t="s">
        <v>36</v>
      </c>
      <c r="T2157" t="str">
        <f>"86312"</f>
        <v>86312</v>
      </c>
      <c r="U2157" t="str">
        <f>""</f>
        <v/>
      </c>
      <c r="V2157" t="s">
        <v>7557</v>
      </c>
      <c r="X2157" t="s">
        <v>5277</v>
      </c>
      <c r="Y2157" t="s">
        <v>36</v>
      </c>
      <c r="Z2157" t="str">
        <f>"86315"</f>
        <v>86315</v>
      </c>
      <c r="AA2157" t="str">
        <f>""</f>
        <v/>
      </c>
      <c r="AB2157" t="s">
        <v>217</v>
      </c>
    </row>
    <row r="2158" spans="1:28" x14ac:dyDescent="0.25">
      <c r="A2158">
        <v>90138</v>
      </c>
      <c r="B2158" t="str">
        <f>"078549000"</f>
        <v>078549000</v>
      </c>
      <c r="C2158" t="s">
        <v>7558</v>
      </c>
      <c r="D2158">
        <v>0</v>
      </c>
      <c r="E2158" t="str">
        <f>""</f>
        <v/>
      </c>
      <c r="G2158" t="s">
        <v>29</v>
      </c>
      <c r="H2158" t="s">
        <v>305</v>
      </c>
      <c r="I2158" t="s">
        <v>7559</v>
      </c>
      <c r="J2158" t="s">
        <v>32</v>
      </c>
      <c r="K2158" t="str">
        <f>"6029385517"</f>
        <v>6029385517</v>
      </c>
      <c r="L2158" t="str">
        <f>"105"</f>
        <v>105</v>
      </c>
      <c r="M2158" t="str">
        <f>"6029381179"</f>
        <v>6029381179</v>
      </c>
      <c r="N2158" t="str">
        <f>""</f>
        <v/>
      </c>
      <c r="O2158" t="s">
        <v>7560</v>
      </c>
      <c r="P2158" t="s">
        <v>7561</v>
      </c>
      <c r="R2158" t="s">
        <v>964</v>
      </c>
      <c r="S2158" t="s">
        <v>36</v>
      </c>
      <c r="T2158" t="str">
        <f>"85027"</f>
        <v>85027</v>
      </c>
      <c r="U2158" t="str">
        <f>""</f>
        <v/>
      </c>
      <c r="V2158" t="s">
        <v>7561</v>
      </c>
      <c r="X2158" t="s">
        <v>964</v>
      </c>
      <c r="Y2158" t="s">
        <v>36</v>
      </c>
      <c r="Z2158" t="str">
        <f>"85027"</f>
        <v>85027</v>
      </c>
      <c r="AA2158" t="str">
        <f>""</f>
        <v/>
      </c>
      <c r="AB2158" t="s">
        <v>632</v>
      </c>
    </row>
    <row r="2159" spans="1:28" x14ac:dyDescent="0.25">
      <c r="A2159">
        <v>90138</v>
      </c>
      <c r="B2159" t="str">
        <f>"078549000"</f>
        <v>078549000</v>
      </c>
      <c r="C2159" t="s">
        <v>7558</v>
      </c>
      <c r="D2159">
        <v>90139</v>
      </c>
      <c r="E2159" t="str">
        <f>"078549001"</f>
        <v>078549001</v>
      </c>
      <c r="F2159" t="s">
        <v>7562</v>
      </c>
      <c r="G2159" t="s">
        <v>42</v>
      </c>
      <c r="H2159" t="s">
        <v>305</v>
      </c>
      <c r="I2159" t="s">
        <v>7559</v>
      </c>
      <c r="J2159" t="s">
        <v>7563</v>
      </c>
      <c r="K2159" t="str">
        <f>"6029385517"</f>
        <v>6029385517</v>
      </c>
      <c r="L2159" t="str">
        <f>"105"</f>
        <v>105</v>
      </c>
      <c r="M2159" t="str">
        <f>"6029381179"</f>
        <v>6029381179</v>
      </c>
      <c r="N2159" t="str">
        <f>""</f>
        <v/>
      </c>
      <c r="O2159" t="s">
        <v>7560</v>
      </c>
      <c r="P2159" t="s">
        <v>7561</v>
      </c>
      <c r="R2159" t="s">
        <v>964</v>
      </c>
      <c r="S2159" t="s">
        <v>36</v>
      </c>
      <c r="T2159" t="str">
        <f>"85027"</f>
        <v>85027</v>
      </c>
      <c r="U2159" t="str">
        <f>""</f>
        <v/>
      </c>
      <c r="V2159" t="s">
        <v>7561</v>
      </c>
      <c r="X2159" t="s">
        <v>964</v>
      </c>
      <c r="Y2159" t="s">
        <v>36</v>
      </c>
      <c r="Z2159" t="str">
        <f>"85027"</f>
        <v>85027</v>
      </c>
      <c r="AA2159" t="str">
        <f>""</f>
        <v/>
      </c>
      <c r="AB2159" t="s">
        <v>632</v>
      </c>
    </row>
    <row r="2160" spans="1:28" x14ac:dyDescent="0.25">
      <c r="A2160">
        <v>90138</v>
      </c>
      <c r="B2160" t="str">
        <f>"078549000"</f>
        <v>078549000</v>
      </c>
      <c r="C2160" t="s">
        <v>7558</v>
      </c>
      <c r="D2160">
        <v>92636</v>
      </c>
      <c r="E2160" t="str">
        <f>"078549002"</f>
        <v>078549002</v>
      </c>
      <c r="F2160" t="s">
        <v>7564</v>
      </c>
      <c r="G2160" t="s">
        <v>42</v>
      </c>
      <c r="H2160" t="s">
        <v>305</v>
      </c>
      <c r="I2160" t="s">
        <v>7559</v>
      </c>
      <c r="J2160" t="s">
        <v>3787</v>
      </c>
      <c r="K2160" t="str">
        <f>"6029385517"</f>
        <v>6029385517</v>
      </c>
      <c r="L2160" t="str">
        <f>"104"</f>
        <v>104</v>
      </c>
      <c r="M2160" t="str">
        <f>"6029381179"</f>
        <v>6029381179</v>
      </c>
      <c r="N2160" t="str">
        <f>""</f>
        <v/>
      </c>
      <c r="O2160" t="s">
        <v>7560</v>
      </c>
      <c r="P2160" t="s">
        <v>7565</v>
      </c>
      <c r="R2160" t="s">
        <v>1173</v>
      </c>
      <c r="S2160" t="s">
        <v>36</v>
      </c>
      <c r="T2160" t="str">
        <f>"85806"</f>
        <v>85806</v>
      </c>
      <c r="U2160" t="str">
        <f>""</f>
        <v/>
      </c>
      <c r="V2160" t="s">
        <v>7565</v>
      </c>
      <c r="X2160" t="s">
        <v>1173</v>
      </c>
      <c r="Y2160" t="s">
        <v>36</v>
      </c>
      <c r="Z2160" t="str">
        <f>"85806"</f>
        <v>85806</v>
      </c>
      <c r="AA2160" t="str">
        <f>""</f>
        <v/>
      </c>
      <c r="AB2160" t="s">
        <v>632</v>
      </c>
    </row>
    <row r="2161" spans="1:28" x14ac:dyDescent="0.25">
      <c r="A2161">
        <v>90140</v>
      </c>
      <c r="B2161" t="str">
        <f>"078550000"</f>
        <v>078550000</v>
      </c>
      <c r="C2161" t="s">
        <v>7566</v>
      </c>
      <c r="D2161">
        <v>0</v>
      </c>
      <c r="E2161" t="str">
        <f>""</f>
        <v/>
      </c>
      <c r="G2161" t="s">
        <v>29</v>
      </c>
      <c r="H2161" t="s">
        <v>7567</v>
      </c>
      <c r="I2161" t="s">
        <v>7568</v>
      </c>
      <c r="J2161" t="s">
        <v>7569</v>
      </c>
      <c r="K2161" t="str">
        <f>"6239333733"</f>
        <v>6239333733</v>
      </c>
      <c r="L2161" t="str">
        <f>""</f>
        <v/>
      </c>
      <c r="M2161" t="str">
        <f>"6232520022"</f>
        <v>6232520022</v>
      </c>
      <c r="N2161" t="str">
        <f>""</f>
        <v/>
      </c>
      <c r="O2161" t="s">
        <v>7570</v>
      </c>
      <c r="P2161" t="s">
        <v>7571</v>
      </c>
      <c r="R2161" t="s">
        <v>964</v>
      </c>
      <c r="S2161" t="s">
        <v>36</v>
      </c>
      <c r="T2161" t="str">
        <f>"85033"</f>
        <v>85033</v>
      </c>
      <c r="U2161" t="str">
        <f>""</f>
        <v/>
      </c>
      <c r="V2161" t="s">
        <v>7571</v>
      </c>
      <c r="X2161" t="s">
        <v>964</v>
      </c>
      <c r="Y2161" t="s">
        <v>36</v>
      </c>
      <c r="Z2161" t="str">
        <f>"85033"</f>
        <v>85033</v>
      </c>
      <c r="AA2161" t="str">
        <f>""</f>
        <v/>
      </c>
      <c r="AB2161" t="s">
        <v>821</v>
      </c>
    </row>
    <row r="2162" spans="1:28" x14ac:dyDescent="0.25">
      <c r="A2162">
        <v>90140</v>
      </c>
      <c r="B2162" t="str">
        <f>"078550000"</f>
        <v>078550000</v>
      </c>
      <c r="C2162" t="s">
        <v>7566</v>
      </c>
      <c r="D2162">
        <v>90141</v>
      </c>
      <c r="E2162" t="str">
        <f>"078550001"</f>
        <v>078550001</v>
      </c>
      <c r="F2162" t="s">
        <v>3350</v>
      </c>
      <c r="G2162" t="s">
        <v>42</v>
      </c>
      <c r="H2162" t="s">
        <v>7567</v>
      </c>
      <c r="I2162" t="s">
        <v>7568</v>
      </c>
      <c r="J2162" t="s">
        <v>7569</v>
      </c>
      <c r="K2162" t="str">
        <f>"6239333733"</f>
        <v>6239333733</v>
      </c>
      <c r="L2162" t="str">
        <f>""</f>
        <v/>
      </c>
      <c r="M2162" t="str">
        <f>"6232520022"</f>
        <v>6232520022</v>
      </c>
      <c r="N2162" t="str">
        <f>""</f>
        <v/>
      </c>
      <c r="O2162" t="s">
        <v>7570</v>
      </c>
      <c r="P2162" t="s">
        <v>7571</v>
      </c>
      <c r="R2162" t="s">
        <v>964</v>
      </c>
      <c r="S2162" t="s">
        <v>36</v>
      </c>
      <c r="T2162" t="str">
        <f>"85033"</f>
        <v>85033</v>
      </c>
      <c r="U2162" t="str">
        <f>""</f>
        <v/>
      </c>
      <c r="V2162" t="s">
        <v>7571</v>
      </c>
      <c r="X2162" t="s">
        <v>964</v>
      </c>
      <c r="Y2162" t="s">
        <v>36</v>
      </c>
      <c r="Z2162" t="str">
        <f>"85033"</f>
        <v>85033</v>
      </c>
      <c r="AA2162" t="str">
        <f>""</f>
        <v/>
      </c>
      <c r="AB2162" t="s">
        <v>821</v>
      </c>
    </row>
    <row r="2163" spans="1:28" x14ac:dyDescent="0.25">
      <c r="A2163">
        <v>90160</v>
      </c>
      <c r="B2163" t="str">
        <f>"078552000"</f>
        <v>078552000</v>
      </c>
      <c r="C2163" t="s">
        <v>7572</v>
      </c>
      <c r="D2163">
        <v>0</v>
      </c>
      <c r="E2163" t="str">
        <f>""</f>
        <v/>
      </c>
      <c r="G2163" t="s">
        <v>29</v>
      </c>
      <c r="H2163" t="s">
        <v>6179</v>
      </c>
      <c r="I2163" t="s">
        <v>6180</v>
      </c>
      <c r="J2163" t="s">
        <v>6181</v>
      </c>
      <c r="K2163" t="str">
        <f>"4805007059"</f>
        <v>4805007059</v>
      </c>
      <c r="L2163" t="str">
        <f>""</f>
        <v/>
      </c>
      <c r="M2163" t="str">
        <f>""</f>
        <v/>
      </c>
      <c r="N2163" t="str">
        <f>""</f>
        <v/>
      </c>
      <c r="O2163" t="s">
        <v>6182</v>
      </c>
      <c r="P2163" t="s">
        <v>6183</v>
      </c>
      <c r="R2163" t="s">
        <v>964</v>
      </c>
      <c r="S2163" t="s">
        <v>36</v>
      </c>
      <c r="T2163" t="str">
        <f>"85035"</f>
        <v>85035</v>
      </c>
      <c r="U2163" t="str">
        <f>""</f>
        <v/>
      </c>
      <c r="V2163" t="s">
        <v>7458</v>
      </c>
      <c r="X2163" t="s">
        <v>4907</v>
      </c>
      <c r="Y2163" t="s">
        <v>36</v>
      </c>
      <c r="Z2163" t="str">
        <f>"85120"</f>
        <v>85120</v>
      </c>
      <c r="AA2163" t="str">
        <f>""</f>
        <v/>
      </c>
      <c r="AB2163" t="s">
        <v>1166</v>
      </c>
    </row>
    <row r="2164" spans="1:28" x14ac:dyDescent="0.25">
      <c r="A2164">
        <v>90160</v>
      </c>
      <c r="B2164" t="str">
        <f>"078552000"</f>
        <v>078552000</v>
      </c>
      <c r="C2164" t="s">
        <v>7572</v>
      </c>
      <c r="D2164">
        <v>90161</v>
      </c>
      <c r="E2164" t="str">
        <f>"078552001"</f>
        <v>078552001</v>
      </c>
      <c r="F2164" t="s">
        <v>7573</v>
      </c>
      <c r="G2164" t="s">
        <v>42</v>
      </c>
      <c r="H2164" t="s">
        <v>7460</v>
      </c>
      <c r="I2164" t="s">
        <v>7461</v>
      </c>
      <c r="J2164" t="s">
        <v>301</v>
      </c>
      <c r="K2164" t="str">
        <f>"4803550530"</f>
        <v>4803550530</v>
      </c>
      <c r="L2164" t="str">
        <f>""</f>
        <v/>
      </c>
      <c r="M2164" t="str">
        <f>"4803550540"</f>
        <v>4803550540</v>
      </c>
      <c r="N2164" t="str">
        <f>""</f>
        <v/>
      </c>
      <c r="O2164" t="s">
        <v>7462</v>
      </c>
      <c r="P2164" t="s">
        <v>6183</v>
      </c>
      <c r="R2164" t="s">
        <v>964</v>
      </c>
      <c r="S2164" t="s">
        <v>36</v>
      </c>
      <c r="T2164" t="str">
        <f>"85035"</f>
        <v>85035</v>
      </c>
      <c r="U2164" t="str">
        <f>""</f>
        <v/>
      </c>
      <c r="V2164" t="s">
        <v>7574</v>
      </c>
      <c r="X2164" t="s">
        <v>4907</v>
      </c>
      <c r="Y2164" t="s">
        <v>36</v>
      </c>
      <c r="Z2164" t="str">
        <f>"85120"</f>
        <v>85120</v>
      </c>
      <c r="AA2164" t="str">
        <f>""</f>
        <v/>
      </c>
      <c r="AB2164" t="s">
        <v>1166</v>
      </c>
    </row>
    <row r="2165" spans="1:28" x14ac:dyDescent="0.25">
      <c r="A2165">
        <v>90162</v>
      </c>
      <c r="B2165" t="str">
        <f>"078553000"</f>
        <v>078553000</v>
      </c>
      <c r="C2165" t="s">
        <v>7575</v>
      </c>
      <c r="D2165">
        <v>0</v>
      </c>
      <c r="E2165" t="str">
        <f>""</f>
        <v/>
      </c>
      <c r="G2165" t="s">
        <v>29</v>
      </c>
      <c r="H2165" t="s">
        <v>6179</v>
      </c>
      <c r="I2165" t="s">
        <v>6180</v>
      </c>
      <c r="J2165" t="s">
        <v>6181</v>
      </c>
      <c r="K2165" t="str">
        <f>"4805007059"</f>
        <v>4805007059</v>
      </c>
      <c r="L2165" t="str">
        <f>""</f>
        <v/>
      </c>
      <c r="M2165" t="str">
        <f>""</f>
        <v/>
      </c>
      <c r="N2165" t="str">
        <f>""</f>
        <v/>
      </c>
      <c r="O2165" t="s">
        <v>6182</v>
      </c>
      <c r="P2165" t="s">
        <v>6183</v>
      </c>
      <c r="R2165" t="s">
        <v>964</v>
      </c>
      <c r="S2165" t="s">
        <v>36</v>
      </c>
      <c r="T2165" t="str">
        <f>"85035"</f>
        <v>85035</v>
      </c>
      <c r="U2165" t="str">
        <f>""</f>
        <v/>
      </c>
      <c r="V2165" t="s">
        <v>7576</v>
      </c>
      <c r="X2165" t="s">
        <v>2893</v>
      </c>
      <c r="Y2165" t="s">
        <v>36</v>
      </c>
      <c r="Z2165" t="str">
        <f>"85323"</f>
        <v>85323</v>
      </c>
      <c r="AA2165" t="str">
        <f>""</f>
        <v/>
      </c>
      <c r="AB2165" t="s">
        <v>1166</v>
      </c>
    </row>
    <row r="2166" spans="1:28" x14ac:dyDescent="0.25">
      <c r="A2166">
        <v>90162</v>
      </c>
      <c r="B2166" t="str">
        <f>"078553000"</f>
        <v>078553000</v>
      </c>
      <c r="C2166" t="s">
        <v>7575</v>
      </c>
      <c r="D2166">
        <v>90163</v>
      </c>
      <c r="E2166" t="str">
        <f>"078553001"</f>
        <v>078553001</v>
      </c>
      <c r="F2166" t="s">
        <v>7577</v>
      </c>
      <c r="G2166" t="s">
        <v>42</v>
      </c>
      <c r="H2166" t="s">
        <v>4729</v>
      </c>
      <c r="I2166" t="s">
        <v>2174</v>
      </c>
      <c r="J2166" t="s">
        <v>301</v>
      </c>
      <c r="K2166" t="str">
        <f>"6233441730"</f>
        <v>6233441730</v>
      </c>
      <c r="L2166" t="str">
        <f>""</f>
        <v/>
      </c>
      <c r="M2166" t="str">
        <f>"6233441740"</f>
        <v>6233441740</v>
      </c>
      <c r="N2166" t="str">
        <f>""</f>
        <v/>
      </c>
      <c r="O2166" t="s">
        <v>7448</v>
      </c>
      <c r="P2166" t="s">
        <v>6183</v>
      </c>
      <c r="R2166" t="s">
        <v>964</v>
      </c>
      <c r="S2166" t="s">
        <v>36</v>
      </c>
      <c r="T2166" t="str">
        <f>"85035"</f>
        <v>85035</v>
      </c>
      <c r="U2166" t="str">
        <f>""</f>
        <v/>
      </c>
      <c r="V2166" t="s">
        <v>7449</v>
      </c>
      <c r="X2166" t="s">
        <v>2893</v>
      </c>
      <c r="Y2166" t="s">
        <v>36</v>
      </c>
      <c r="Z2166" t="str">
        <f>"85323"</f>
        <v>85323</v>
      </c>
      <c r="AA2166" t="str">
        <f>""</f>
        <v/>
      </c>
      <c r="AB2166" t="s">
        <v>1166</v>
      </c>
    </row>
    <row r="2167" spans="1:28" x14ac:dyDescent="0.25">
      <c r="A2167">
        <v>90192</v>
      </c>
      <c r="B2167" t="str">
        <f>"078556000"</f>
        <v>078556000</v>
      </c>
      <c r="C2167" t="s">
        <v>7578</v>
      </c>
      <c r="D2167">
        <v>0</v>
      </c>
      <c r="E2167" t="str">
        <f>""</f>
        <v/>
      </c>
      <c r="G2167" t="s">
        <v>29</v>
      </c>
      <c r="H2167" t="s">
        <v>5796</v>
      </c>
      <c r="I2167" t="s">
        <v>7579</v>
      </c>
      <c r="J2167" t="s">
        <v>307</v>
      </c>
      <c r="K2167" t="str">
        <f>"6026924914"</f>
        <v>6026924914</v>
      </c>
      <c r="L2167" t="str">
        <f>""</f>
        <v/>
      </c>
      <c r="M2167" t="str">
        <f>"6022766298"</f>
        <v>6022766298</v>
      </c>
      <c r="N2167" t="str">
        <f>""</f>
        <v/>
      </c>
      <c r="O2167" t="s">
        <v>7580</v>
      </c>
      <c r="P2167" t="s">
        <v>7581</v>
      </c>
      <c r="R2167" t="s">
        <v>964</v>
      </c>
      <c r="S2167" t="s">
        <v>36</v>
      </c>
      <c r="T2167" t="str">
        <f>"85041"</f>
        <v>85041</v>
      </c>
      <c r="U2167" t="str">
        <f>""</f>
        <v/>
      </c>
      <c r="V2167" t="s">
        <v>7581</v>
      </c>
      <c r="X2167" t="s">
        <v>964</v>
      </c>
      <c r="Y2167" t="s">
        <v>36</v>
      </c>
      <c r="Z2167" t="str">
        <f>"85041"</f>
        <v>85041</v>
      </c>
      <c r="AA2167" t="str">
        <f>""</f>
        <v/>
      </c>
      <c r="AB2167" t="s">
        <v>86</v>
      </c>
    </row>
    <row r="2168" spans="1:28" x14ac:dyDescent="0.25">
      <c r="A2168">
        <v>90192</v>
      </c>
      <c r="B2168" t="str">
        <f>"078556000"</f>
        <v>078556000</v>
      </c>
      <c r="C2168" t="s">
        <v>7578</v>
      </c>
      <c r="D2168">
        <v>90193</v>
      </c>
      <c r="E2168" t="str">
        <f>"078556001"</f>
        <v>078556001</v>
      </c>
      <c r="F2168" t="s">
        <v>7582</v>
      </c>
      <c r="G2168" t="s">
        <v>42</v>
      </c>
      <c r="H2168" t="s">
        <v>5796</v>
      </c>
      <c r="I2168" t="s">
        <v>7579</v>
      </c>
      <c r="J2168" t="s">
        <v>307</v>
      </c>
      <c r="K2168" t="str">
        <f>"6026924914"</f>
        <v>6026924914</v>
      </c>
      <c r="L2168" t="str">
        <f>""</f>
        <v/>
      </c>
      <c r="M2168" t="str">
        <f>"6022766298"</f>
        <v>6022766298</v>
      </c>
      <c r="N2168" t="str">
        <f>""</f>
        <v/>
      </c>
      <c r="O2168" t="s">
        <v>7583</v>
      </c>
      <c r="P2168" t="s">
        <v>7581</v>
      </c>
      <c r="R2168" t="s">
        <v>964</v>
      </c>
      <c r="S2168" t="s">
        <v>36</v>
      </c>
      <c r="T2168" t="str">
        <f>"85041"</f>
        <v>85041</v>
      </c>
      <c r="U2168" t="str">
        <f>""</f>
        <v/>
      </c>
      <c r="V2168" t="s">
        <v>7581</v>
      </c>
      <c r="X2168" t="s">
        <v>964</v>
      </c>
      <c r="Y2168" t="s">
        <v>36</v>
      </c>
      <c r="Z2168" t="str">
        <f>"85041"</f>
        <v>85041</v>
      </c>
      <c r="AA2168" t="str">
        <f>""</f>
        <v/>
      </c>
      <c r="AB2168" t="s">
        <v>86</v>
      </c>
    </row>
    <row r="2169" spans="1:28" x14ac:dyDescent="0.25">
      <c r="A2169">
        <v>90199</v>
      </c>
      <c r="B2169" t="str">
        <f>"108734000"</f>
        <v>108734000</v>
      </c>
      <c r="C2169" t="s">
        <v>7584</v>
      </c>
      <c r="D2169">
        <v>0</v>
      </c>
      <c r="E2169" t="str">
        <f>""</f>
        <v/>
      </c>
      <c r="G2169" t="s">
        <v>29</v>
      </c>
      <c r="H2169" t="s">
        <v>7585</v>
      </c>
      <c r="I2169" t="s">
        <v>7586</v>
      </c>
      <c r="J2169" t="s">
        <v>6345</v>
      </c>
      <c r="K2169" t="str">
        <f>"5207897731"</f>
        <v>5207897731</v>
      </c>
      <c r="L2169" t="str">
        <f>""</f>
        <v/>
      </c>
      <c r="M2169" t="str">
        <f>"5207897735"</f>
        <v>5207897735</v>
      </c>
      <c r="N2169" t="str">
        <f>""</f>
        <v/>
      </c>
      <c r="O2169" t="s">
        <v>7587</v>
      </c>
      <c r="P2169" t="s">
        <v>7588</v>
      </c>
      <c r="R2169" t="s">
        <v>4169</v>
      </c>
      <c r="S2169" t="s">
        <v>36</v>
      </c>
      <c r="T2169" t="str">
        <f>"85757"</f>
        <v>85757</v>
      </c>
      <c r="U2169" t="str">
        <f>""</f>
        <v/>
      </c>
      <c r="V2169" t="s">
        <v>7588</v>
      </c>
      <c r="X2169" t="s">
        <v>4169</v>
      </c>
      <c r="Y2169" t="s">
        <v>36</v>
      </c>
      <c r="Z2169" t="str">
        <f>"85757"</f>
        <v>85757</v>
      </c>
      <c r="AA2169" t="str">
        <f>""</f>
        <v/>
      </c>
      <c r="AB2169" t="s">
        <v>7418</v>
      </c>
    </row>
    <row r="2170" spans="1:28" x14ac:dyDescent="0.25">
      <c r="A2170">
        <v>90199</v>
      </c>
      <c r="B2170" t="str">
        <f>"108734000"</f>
        <v>108734000</v>
      </c>
      <c r="C2170" t="s">
        <v>7584</v>
      </c>
      <c r="D2170">
        <v>90200</v>
      </c>
      <c r="E2170" t="str">
        <f>"108734001"</f>
        <v>108734001</v>
      </c>
      <c r="F2170" t="s">
        <v>7589</v>
      </c>
      <c r="G2170" t="s">
        <v>42</v>
      </c>
      <c r="H2170" t="s">
        <v>7585</v>
      </c>
      <c r="I2170" t="s">
        <v>7586</v>
      </c>
      <c r="J2170" t="s">
        <v>6345</v>
      </c>
      <c r="K2170" t="str">
        <f>"5207897731"</f>
        <v>5207897731</v>
      </c>
      <c r="L2170" t="str">
        <f>"329"</f>
        <v>329</v>
      </c>
      <c r="M2170" t="str">
        <f>"5207897735"</f>
        <v>5207897735</v>
      </c>
      <c r="N2170" t="str">
        <f>""</f>
        <v/>
      </c>
      <c r="O2170" t="s">
        <v>7587</v>
      </c>
      <c r="P2170" t="s">
        <v>7588</v>
      </c>
      <c r="R2170" t="s">
        <v>4169</v>
      </c>
      <c r="S2170" t="s">
        <v>36</v>
      </c>
      <c r="T2170" t="str">
        <f>"87575"</f>
        <v>87575</v>
      </c>
      <c r="U2170" t="str">
        <f>""</f>
        <v/>
      </c>
      <c r="V2170" t="s">
        <v>7588</v>
      </c>
      <c r="X2170" t="s">
        <v>4169</v>
      </c>
      <c r="Y2170" t="s">
        <v>36</v>
      </c>
      <c r="Z2170" t="str">
        <f>"87575"</f>
        <v>87575</v>
      </c>
      <c r="AA2170" t="str">
        <f>""</f>
        <v/>
      </c>
      <c r="AB2170" t="s">
        <v>7418</v>
      </c>
    </row>
    <row r="2171" spans="1:28" x14ac:dyDescent="0.25">
      <c r="A2171">
        <v>90199</v>
      </c>
      <c r="B2171" t="str">
        <f>"108734000"</f>
        <v>108734000</v>
      </c>
      <c r="C2171" t="s">
        <v>7584</v>
      </c>
      <c r="D2171">
        <v>90770</v>
      </c>
      <c r="E2171" t="str">
        <f>"108734002"</f>
        <v>108734002</v>
      </c>
      <c r="F2171" t="s">
        <v>7590</v>
      </c>
      <c r="G2171" t="s">
        <v>42</v>
      </c>
      <c r="H2171" t="s">
        <v>7585</v>
      </c>
      <c r="I2171" t="s">
        <v>7586</v>
      </c>
      <c r="J2171" t="s">
        <v>6345</v>
      </c>
      <c r="K2171" t="str">
        <f>"5207897731"</f>
        <v>5207897731</v>
      </c>
      <c r="L2171" t="str">
        <f>"329"</f>
        <v>329</v>
      </c>
      <c r="M2171" t="str">
        <f>"5207897735"</f>
        <v>5207897735</v>
      </c>
      <c r="N2171" t="str">
        <f>""</f>
        <v/>
      </c>
      <c r="O2171" t="s">
        <v>7587</v>
      </c>
      <c r="P2171" t="s">
        <v>7591</v>
      </c>
      <c r="R2171" t="s">
        <v>4169</v>
      </c>
      <c r="S2171" t="s">
        <v>36</v>
      </c>
      <c r="T2171" t="str">
        <f>"85757"</f>
        <v>85757</v>
      </c>
      <c r="U2171" t="str">
        <f>""</f>
        <v/>
      </c>
      <c r="V2171" t="s">
        <v>7588</v>
      </c>
      <c r="X2171" t="s">
        <v>4169</v>
      </c>
      <c r="Y2171" t="s">
        <v>36</v>
      </c>
      <c r="Z2171" t="str">
        <f>"85757"</f>
        <v>85757</v>
      </c>
      <c r="AA2171" t="str">
        <f>""</f>
        <v/>
      </c>
      <c r="AB2171" t="s">
        <v>7418</v>
      </c>
    </row>
    <row r="2172" spans="1:28" x14ac:dyDescent="0.25">
      <c r="A2172">
        <v>90275</v>
      </c>
      <c r="B2172" t="str">
        <f>"078560000"</f>
        <v>078560000</v>
      </c>
      <c r="C2172" t="s">
        <v>7592</v>
      </c>
      <c r="D2172">
        <v>0</v>
      </c>
      <c r="E2172" t="str">
        <f>""</f>
        <v/>
      </c>
      <c r="G2172" t="s">
        <v>29</v>
      </c>
      <c r="H2172" t="s">
        <v>3744</v>
      </c>
      <c r="I2172" t="s">
        <v>7593</v>
      </c>
      <c r="J2172" t="s">
        <v>32</v>
      </c>
      <c r="K2172" t="str">
        <f>"9286361430"</f>
        <v>9286361430</v>
      </c>
      <c r="L2172" t="str">
        <f>""</f>
        <v/>
      </c>
      <c r="M2172" t="str">
        <f>"9286363087"</f>
        <v>9286363087</v>
      </c>
      <c r="N2172" t="str">
        <f>""</f>
        <v/>
      </c>
      <c r="O2172" t="s">
        <v>7594</v>
      </c>
      <c r="P2172" t="s">
        <v>7595</v>
      </c>
      <c r="R2172" t="s">
        <v>7596</v>
      </c>
      <c r="S2172" t="s">
        <v>36</v>
      </c>
      <c r="T2172" t="str">
        <f>"86334"</f>
        <v>86334</v>
      </c>
      <c r="U2172" t="str">
        <f>""</f>
        <v/>
      </c>
      <c r="V2172" t="s">
        <v>7597</v>
      </c>
      <c r="W2172" t="s">
        <v>7595</v>
      </c>
      <c r="X2172" t="s">
        <v>7596</v>
      </c>
      <c r="Y2172" t="s">
        <v>36</v>
      </c>
      <c r="Z2172" t="str">
        <f>"86334"</f>
        <v>86334</v>
      </c>
      <c r="AA2172" t="str">
        <f>""</f>
        <v/>
      </c>
      <c r="AB2172" t="s">
        <v>516</v>
      </c>
    </row>
    <row r="2173" spans="1:28" x14ac:dyDescent="0.25">
      <c r="A2173">
        <v>90275</v>
      </c>
      <c r="B2173" t="str">
        <f>"078560000"</f>
        <v>078560000</v>
      </c>
      <c r="C2173" t="s">
        <v>7592</v>
      </c>
      <c r="D2173">
        <v>90276</v>
      </c>
      <c r="E2173" t="str">
        <f>"078560001"</f>
        <v>078560001</v>
      </c>
      <c r="F2173" t="s">
        <v>7598</v>
      </c>
      <c r="G2173" t="s">
        <v>42</v>
      </c>
      <c r="H2173" t="s">
        <v>3744</v>
      </c>
      <c r="I2173" t="s">
        <v>7593</v>
      </c>
      <c r="J2173" t="s">
        <v>32</v>
      </c>
      <c r="K2173" t="str">
        <f>"9286361430"</f>
        <v>9286361430</v>
      </c>
      <c r="L2173" t="str">
        <f>""</f>
        <v/>
      </c>
      <c r="M2173" t="str">
        <f>"9286363087"</f>
        <v>9286363087</v>
      </c>
      <c r="N2173" t="str">
        <f>""</f>
        <v/>
      </c>
      <c r="O2173" t="s">
        <v>7594</v>
      </c>
      <c r="P2173" t="s">
        <v>7595</v>
      </c>
      <c r="R2173" t="s">
        <v>7596</v>
      </c>
      <c r="S2173" t="s">
        <v>36</v>
      </c>
      <c r="T2173" t="str">
        <f>"86334"</f>
        <v>86334</v>
      </c>
      <c r="U2173" t="str">
        <f>""</f>
        <v/>
      </c>
      <c r="V2173" t="s">
        <v>7597</v>
      </c>
      <c r="X2173" t="s">
        <v>7596</v>
      </c>
      <c r="Y2173" t="s">
        <v>36</v>
      </c>
      <c r="Z2173" t="str">
        <f>"86334"</f>
        <v>86334</v>
      </c>
      <c r="AA2173" t="str">
        <f>""</f>
        <v/>
      </c>
      <c r="AB2173" t="s">
        <v>516</v>
      </c>
    </row>
    <row r="2174" spans="1:28" x14ac:dyDescent="0.25">
      <c r="A2174">
        <v>90284</v>
      </c>
      <c r="B2174" t="str">
        <f>"108504000"</f>
        <v>108504000</v>
      </c>
      <c r="C2174" t="s">
        <v>7599</v>
      </c>
      <c r="D2174">
        <v>0</v>
      </c>
      <c r="E2174" t="str">
        <f>""</f>
        <v/>
      </c>
      <c r="G2174" t="s">
        <v>29</v>
      </c>
      <c r="H2174" t="s">
        <v>896</v>
      </c>
      <c r="I2174" t="s">
        <v>6338</v>
      </c>
      <c r="J2174" t="s">
        <v>301</v>
      </c>
      <c r="K2174" t="str">
        <f>"5203005699"</f>
        <v>5203005699</v>
      </c>
      <c r="L2174" t="str">
        <f>""</f>
        <v/>
      </c>
      <c r="M2174" t="str">
        <f>"5202077698"</f>
        <v>5202077698</v>
      </c>
      <c r="N2174" t="str">
        <f>""</f>
        <v/>
      </c>
      <c r="O2174" t="s">
        <v>7600</v>
      </c>
      <c r="P2174" t="s">
        <v>7601</v>
      </c>
      <c r="R2174" t="s">
        <v>4169</v>
      </c>
      <c r="S2174" t="s">
        <v>36</v>
      </c>
      <c r="T2174" t="str">
        <f>"85708"</f>
        <v>85708</v>
      </c>
      <c r="U2174" t="str">
        <f>""</f>
        <v/>
      </c>
      <c r="V2174" t="s">
        <v>7601</v>
      </c>
      <c r="X2174" t="s">
        <v>4169</v>
      </c>
      <c r="Y2174" t="s">
        <v>36</v>
      </c>
      <c r="Z2174" t="str">
        <f>"85708"</f>
        <v>85708</v>
      </c>
      <c r="AA2174" t="str">
        <f>""</f>
        <v/>
      </c>
      <c r="AB2174" t="s">
        <v>821</v>
      </c>
    </row>
    <row r="2175" spans="1:28" x14ac:dyDescent="0.25">
      <c r="A2175">
        <v>90284</v>
      </c>
      <c r="B2175" t="str">
        <f>"108504000"</f>
        <v>108504000</v>
      </c>
      <c r="C2175" t="s">
        <v>7599</v>
      </c>
      <c r="D2175">
        <v>90285</v>
      </c>
      <c r="E2175" t="str">
        <f>"108504001"</f>
        <v>108504001</v>
      </c>
      <c r="F2175" t="s">
        <v>7602</v>
      </c>
      <c r="G2175" t="s">
        <v>42</v>
      </c>
      <c r="H2175" t="s">
        <v>896</v>
      </c>
      <c r="I2175" t="s">
        <v>6338</v>
      </c>
      <c r="J2175" t="s">
        <v>6194</v>
      </c>
      <c r="K2175" t="str">
        <f>"5203005699"</f>
        <v>5203005699</v>
      </c>
      <c r="L2175" t="str">
        <f>""</f>
        <v/>
      </c>
      <c r="M2175" t="str">
        <f>"5202077698"</f>
        <v>5202077698</v>
      </c>
      <c r="N2175" t="str">
        <f>""</f>
        <v/>
      </c>
      <c r="O2175" t="s">
        <v>7600</v>
      </c>
      <c r="P2175" t="s">
        <v>7601</v>
      </c>
      <c r="R2175" t="s">
        <v>4169</v>
      </c>
      <c r="S2175" t="s">
        <v>36</v>
      </c>
      <c r="T2175" t="str">
        <f>"85708"</f>
        <v>85708</v>
      </c>
      <c r="U2175" t="str">
        <f>""</f>
        <v/>
      </c>
      <c r="V2175" t="s">
        <v>7601</v>
      </c>
      <c r="X2175" t="s">
        <v>4169</v>
      </c>
      <c r="Y2175" t="s">
        <v>36</v>
      </c>
      <c r="Z2175" t="str">
        <f>"85708"</f>
        <v>85708</v>
      </c>
      <c r="AA2175" t="str">
        <f>""</f>
        <v/>
      </c>
      <c r="AB2175" t="s">
        <v>821</v>
      </c>
    </row>
    <row r="2176" spans="1:28" x14ac:dyDescent="0.25">
      <c r="A2176">
        <v>90327</v>
      </c>
      <c r="B2176" t="str">
        <f>"078564000"</f>
        <v>078564000</v>
      </c>
      <c r="C2176" t="s">
        <v>7603</v>
      </c>
      <c r="D2176">
        <v>0</v>
      </c>
      <c r="E2176" t="str">
        <f>""</f>
        <v/>
      </c>
      <c r="G2176" t="s">
        <v>29</v>
      </c>
      <c r="H2176" t="s">
        <v>1639</v>
      </c>
      <c r="I2176" t="s">
        <v>7604</v>
      </c>
      <c r="J2176" t="s">
        <v>7605</v>
      </c>
      <c r="K2176" t="str">
        <f>"4806351900"</f>
        <v>4806351900</v>
      </c>
      <c r="L2176" t="str">
        <f>""</f>
        <v/>
      </c>
      <c r="M2176" t="str">
        <f>"4806351906"</f>
        <v>4806351906</v>
      </c>
      <c r="N2176" t="str">
        <f>""</f>
        <v/>
      </c>
      <c r="O2176" t="s">
        <v>7606</v>
      </c>
      <c r="P2176" t="s">
        <v>6717</v>
      </c>
      <c r="R2176" t="s">
        <v>1275</v>
      </c>
      <c r="S2176" t="s">
        <v>36</v>
      </c>
      <c r="T2176" t="str">
        <f>"85296"</f>
        <v>85296</v>
      </c>
      <c r="U2176" t="str">
        <f>""</f>
        <v/>
      </c>
      <c r="V2176" t="s">
        <v>6717</v>
      </c>
      <c r="X2176" t="s">
        <v>1275</v>
      </c>
      <c r="Y2176" t="s">
        <v>36</v>
      </c>
      <c r="Z2176" t="str">
        <f>"85296"</f>
        <v>85296</v>
      </c>
      <c r="AA2176" t="str">
        <f>""</f>
        <v/>
      </c>
      <c r="AB2176" t="s">
        <v>217</v>
      </c>
    </row>
    <row r="2177" spans="1:28" x14ac:dyDescent="0.25">
      <c r="A2177">
        <v>90327</v>
      </c>
      <c r="B2177" t="str">
        <f>"078564000"</f>
        <v>078564000</v>
      </c>
      <c r="C2177" t="s">
        <v>7603</v>
      </c>
      <c r="D2177">
        <v>88289</v>
      </c>
      <c r="E2177" t="str">
        <f>"078564001"</f>
        <v>078564001</v>
      </c>
      <c r="F2177" t="s">
        <v>7607</v>
      </c>
      <c r="G2177" t="s">
        <v>42</v>
      </c>
      <c r="H2177" t="s">
        <v>7608</v>
      </c>
      <c r="I2177" t="s">
        <v>7609</v>
      </c>
      <c r="J2177" t="s">
        <v>7610</v>
      </c>
      <c r="K2177" t="str">
        <f>"4806359400"</f>
        <v>4806359400</v>
      </c>
      <c r="L2177" t="str">
        <f>""</f>
        <v/>
      </c>
      <c r="M2177" t="str">
        <f>"4806351907"</f>
        <v>4806351907</v>
      </c>
      <c r="N2177" t="str">
        <f>""</f>
        <v/>
      </c>
      <c r="O2177" t="s">
        <v>7611</v>
      </c>
      <c r="P2177" t="s">
        <v>6717</v>
      </c>
      <c r="R2177" t="s">
        <v>1275</v>
      </c>
      <c r="S2177" t="s">
        <v>36</v>
      </c>
      <c r="T2177" t="str">
        <f>"85296"</f>
        <v>85296</v>
      </c>
      <c r="U2177" t="str">
        <f>""</f>
        <v/>
      </c>
      <c r="V2177" t="s">
        <v>6717</v>
      </c>
      <c r="X2177" t="s">
        <v>1275</v>
      </c>
      <c r="Y2177" t="s">
        <v>36</v>
      </c>
      <c r="Z2177" t="str">
        <f>"85296"</f>
        <v>85296</v>
      </c>
      <c r="AA2177" t="str">
        <f>""</f>
        <v/>
      </c>
      <c r="AB2177" t="s">
        <v>217</v>
      </c>
    </row>
    <row r="2178" spans="1:28" x14ac:dyDescent="0.25">
      <c r="A2178">
        <v>90327</v>
      </c>
      <c r="B2178" t="str">
        <f>"078564000"</f>
        <v>078564000</v>
      </c>
      <c r="C2178" t="s">
        <v>7603</v>
      </c>
      <c r="D2178">
        <v>92235</v>
      </c>
      <c r="E2178" t="str">
        <f>"078564002"</f>
        <v>078564002</v>
      </c>
      <c r="F2178" t="s">
        <v>7612</v>
      </c>
      <c r="G2178" t="s">
        <v>42</v>
      </c>
      <c r="H2178" t="s">
        <v>7613</v>
      </c>
      <c r="I2178" t="s">
        <v>7614</v>
      </c>
      <c r="J2178" t="s">
        <v>7615</v>
      </c>
      <c r="K2178" t="str">
        <f>"4802488025"</f>
        <v>4802488025</v>
      </c>
      <c r="L2178" t="str">
        <f>""</f>
        <v/>
      </c>
      <c r="M2178" t="str">
        <f>"4802489429"</f>
        <v>4802489429</v>
      </c>
      <c r="N2178" t="str">
        <f>""</f>
        <v/>
      </c>
      <c r="O2178" t="s">
        <v>7616</v>
      </c>
      <c r="P2178" t="s">
        <v>6717</v>
      </c>
      <c r="R2178" t="s">
        <v>1275</v>
      </c>
      <c r="S2178" t="s">
        <v>36</v>
      </c>
      <c r="T2178" t="str">
        <f>"85296"</f>
        <v>85296</v>
      </c>
      <c r="U2178" t="str">
        <f>""</f>
        <v/>
      </c>
      <c r="V2178" t="s">
        <v>7617</v>
      </c>
      <c r="X2178" t="s">
        <v>1275</v>
      </c>
      <c r="Y2178" t="s">
        <v>36</v>
      </c>
      <c r="Z2178" t="str">
        <f>"85296"</f>
        <v>85296</v>
      </c>
      <c r="AA2178" t="str">
        <f>""</f>
        <v/>
      </c>
      <c r="AB2178" t="s">
        <v>217</v>
      </c>
    </row>
    <row r="2179" spans="1:28" x14ac:dyDescent="0.25">
      <c r="A2179">
        <v>90328</v>
      </c>
      <c r="B2179" t="str">
        <f>"078565000"</f>
        <v>078565000</v>
      </c>
      <c r="C2179" t="s">
        <v>7618</v>
      </c>
      <c r="D2179">
        <v>0</v>
      </c>
      <c r="E2179" t="str">
        <f>""</f>
        <v/>
      </c>
      <c r="G2179" t="s">
        <v>29</v>
      </c>
      <c r="H2179" t="s">
        <v>7619</v>
      </c>
      <c r="I2179" t="s">
        <v>4534</v>
      </c>
      <c r="J2179" t="s">
        <v>6715</v>
      </c>
      <c r="K2179" t="str">
        <f>"4808071100"</f>
        <v>4808071100</v>
      </c>
      <c r="L2179" t="str">
        <f>""</f>
        <v/>
      </c>
      <c r="M2179" t="str">
        <f>"4808071190"</f>
        <v>4808071190</v>
      </c>
      <c r="N2179" t="str">
        <f>""</f>
        <v/>
      </c>
      <c r="O2179" t="s">
        <v>7620</v>
      </c>
      <c r="P2179" t="s">
        <v>6717</v>
      </c>
      <c r="R2179" t="s">
        <v>1275</v>
      </c>
      <c r="S2179" t="s">
        <v>36</v>
      </c>
      <c r="T2179" t="str">
        <f>"85296"</f>
        <v>85296</v>
      </c>
      <c r="U2179" t="str">
        <f>""</f>
        <v/>
      </c>
      <c r="V2179" t="s">
        <v>7621</v>
      </c>
      <c r="X2179" t="s">
        <v>979</v>
      </c>
      <c r="Y2179" t="s">
        <v>36</v>
      </c>
      <c r="Z2179" t="str">
        <f>"85205"</f>
        <v>85205</v>
      </c>
      <c r="AA2179" t="str">
        <f>""</f>
        <v/>
      </c>
      <c r="AB2179" t="s">
        <v>217</v>
      </c>
    </row>
    <row r="2180" spans="1:28" x14ac:dyDescent="0.25">
      <c r="A2180">
        <v>90328</v>
      </c>
      <c r="B2180" t="str">
        <f>"078565000"</f>
        <v>078565000</v>
      </c>
      <c r="C2180" t="s">
        <v>7618</v>
      </c>
      <c r="D2180">
        <v>88290</v>
      </c>
      <c r="E2180" t="str">
        <f>"078565001"</f>
        <v>078565001</v>
      </c>
      <c r="F2180" t="s">
        <v>7622</v>
      </c>
      <c r="G2180" t="s">
        <v>42</v>
      </c>
      <c r="H2180" t="s">
        <v>7619</v>
      </c>
      <c r="I2180" t="s">
        <v>4534</v>
      </c>
      <c r="J2180" t="s">
        <v>7623</v>
      </c>
      <c r="K2180" t="str">
        <f>"4808071100"</f>
        <v>4808071100</v>
      </c>
      <c r="L2180" t="str">
        <f>""</f>
        <v/>
      </c>
      <c r="M2180" t="str">
        <f>"4828071190"</f>
        <v>4828071190</v>
      </c>
      <c r="N2180" t="str">
        <f>""</f>
        <v/>
      </c>
      <c r="O2180" t="s">
        <v>7620</v>
      </c>
      <c r="P2180" t="s">
        <v>6717</v>
      </c>
      <c r="R2180" t="s">
        <v>1275</v>
      </c>
      <c r="S2180" t="s">
        <v>36</v>
      </c>
      <c r="T2180" t="str">
        <f>"85296"</f>
        <v>85296</v>
      </c>
      <c r="U2180" t="str">
        <f>""</f>
        <v/>
      </c>
      <c r="V2180" t="s">
        <v>7624</v>
      </c>
      <c r="X2180" t="s">
        <v>979</v>
      </c>
      <c r="Y2180" t="s">
        <v>36</v>
      </c>
      <c r="Z2180" t="str">
        <f>"85205"</f>
        <v>85205</v>
      </c>
      <c r="AA2180" t="str">
        <f>""</f>
        <v/>
      </c>
      <c r="AB2180" t="s">
        <v>217</v>
      </c>
    </row>
    <row r="2181" spans="1:28" x14ac:dyDescent="0.25">
      <c r="A2181">
        <v>90330</v>
      </c>
      <c r="B2181" t="str">
        <f>"078567000"</f>
        <v>078567000</v>
      </c>
      <c r="C2181" t="s">
        <v>7625</v>
      </c>
      <c r="D2181">
        <v>0</v>
      </c>
      <c r="E2181" t="str">
        <f>""</f>
        <v/>
      </c>
      <c r="G2181" t="s">
        <v>29</v>
      </c>
      <c r="H2181" t="s">
        <v>3744</v>
      </c>
      <c r="I2181" t="s">
        <v>590</v>
      </c>
      <c r="J2181" t="s">
        <v>6166</v>
      </c>
      <c r="K2181" t="str">
        <f>"6029532933"</f>
        <v>6029532933</v>
      </c>
      <c r="L2181" t="str">
        <f>""</f>
        <v/>
      </c>
      <c r="M2181" t="str">
        <f>"6029530831"</f>
        <v>6029530831</v>
      </c>
      <c r="N2181" t="str">
        <f>""</f>
        <v/>
      </c>
      <c r="O2181" t="s">
        <v>3746</v>
      </c>
      <c r="P2181" t="s">
        <v>3747</v>
      </c>
      <c r="R2181" t="s">
        <v>964</v>
      </c>
      <c r="S2181" t="s">
        <v>36</v>
      </c>
      <c r="T2181" t="str">
        <f>"85020"</f>
        <v>85020</v>
      </c>
      <c r="U2181" t="str">
        <f>""</f>
        <v/>
      </c>
      <c r="V2181" t="s">
        <v>3747</v>
      </c>
      <c r="X2181" t="s">
        <v>964</v>
      </c>
      <c r="Y2181" t="s">
        <v>36</v>
      </c>
      <c r="Z2181" t="str">
        <f>"85020"</f>
        <v>85020</v>
      </c>
      <c r="AA2181" t="str">
        <f>""</f>
        <v/>
      </c>
      <c r="AB2181" t="s">
        <v>1466</v>
      </c>
    </row>
    <row r="2182" spans="1:28" x14ac:dyDescent="0.25">
      <c r="A2182">
        <v>90330</v>
      </c>
      <c r="B2182" t="str">
        <f>"078567000"</f>
        <v>078567000</v>
      </c>
      <c r="C2182" t="s">
        <v>7625</v>
      </c>
      <c r="D2182">
        <v>89867</v>
      </c>
      <c r="E2182" t="str">
        <f>"078567001"</f>
        <v>078567001</v>
      </c>
      <c r="F2182" t="s">
        <v>7625</v>
      </c>
      <c r="G2182" t="s">
        <v>42</v>
      </c>
      <c r="H2182" t="s">
        <v>6564</v>
      </c>
      <c r="I2182" t="s">
        <v>6565</v>
      </c>
      <c r="J2182" t="s">
        <v>301</v>
      </c>
      <c r="K2182" t="str">
        <f>"4809241500"</f>
        <v>4809241500</v>
      </c>
      <c r="L2182" t="str">
        <f>""</f>
        <v/>
      </c>
      <c r="M2182" t="str">
        <f>"4809240552"</f>
        <v>4809240552</v>
      </c>
      <c r="N2182" t="str">
        <f>""</f>
        <v/>
      </c>
      <c r="O2182" t="s">
        <v>7626</v>
      </c>
      <c r="P2182" t="s">
        <v>6567</v>
      </c>
      <c r="R2182" t="s">
        <v>979</v>
      </c>
      <c r="S2182" t="s">
        <v>36</v>
      </c>
      <c r="T2182" t="str">
        <f>"85213"</f>
        <v>85213</v>
      </c>
      <c r="U2182" t="str">
        <f>""</f>
        <v/>
      </c>
      <c r="V2182" t="s">
        <v>6567</v>
      </c>
      <c r="X2182" t="s">
        <v>979</v>
      </c>
      <c r="Y2182" t="s">
        <v>36</v>
      </c>
      <c r="Z2182" t="str">
        <f>"85213"</f>
        <v>85213</v>
      </c>
      <c r="AA2182" t="str">
        <f>""</f>
        <v/>
      </c>
      <c r="AB2182" t="s">
        <v>1466</v>
      </c>
    </row>
    <row r="2183" spans="1:28" x14ac:dyDescent="0.25">
      <c r="A2183">
        <v>90331</v>
      </c>
      <c r="B2183" t="str">
        <f>"108505000"</f>
        <v>108505000</v>
      </c>
      <c r="C2183" t="s">
        <v>7627</v>
      </c>
      <c r="D2183">
        <v>0</v>
      </c>
      <c r="E2183" t="str">
        <f>""</f>
        <v/>
      </c>
      <c r="G2183" t="s">
        <v>29</v>
      </c>
      <c r="H2183" t="s">
        <v>7628</v>
      </c>
      <c r="I2183" t="s">
        <v>5189</v>
      </c>
      <c r="J2183" t="s">
        <v>5218</v>
      </c>
      <c r="K2183" t="str">
        <f>"5208870045"</f>
        <v>5208870045</v>
      </c>
      <c r="L2183" t="str">
        <f>""</f>
        <v/>
      </c>
      <c r="M2183" t="str">
        <f>""</f>
        <v/>
      </c>
      <c r="N2183" t="str">
        <f>""</f>
        <v/>
      </c>
      <c r="O2183" t="s">
        <v>7629</v>
      </c>
      <c r="P2183" t="s">
        <v>7630</v>
      </c>
      <c r="R2183" t="s">
        <v>4169</v>
      </c>
      <c r="S2183" t="s">
        <v>36</v>
      </c>
      <c r="T2183" t="str">
        <f>"85705"</f>
        <v>85705</v>
      </c>
      <c r="U2183" t="str">
        <f>""</f>
        <v/>
      </c>
      <c r="V2183" t="s">
        <v>7630</v>
      </c>
      <c r="X2183" t="s">
        <v>4169</v>
      </c>
      <c r="Y2183" t="s">
        <v>36</v>
      </c>
      <c r="Z2183" t="str">
        <f>"85705"</f>
        <v>85705</v>
      </c>
      <c r="AA2183" t="str">
        <f>""</f>
        <v/>
      </c>
      <c r="AB2183" t="s">
        <v>40</v>
      </c>
    </row>
    <row r="2184" spans="1:28" x14ac:dyDescent="0.25">
      <c r="A2184">
        <v>90331</v>
      </c>
      <c r="B2184" t="str">
        <f>"108505000"</f>
        <v>108505000</v>
      </c>
      <c r="C2184" t="s">
        <v>7627</v>
      </c>
      <c r="D2184">
        <v>87412</v>
      </c>
      <c r="E2184" t="str">
        <f>"108505001"</f>
        <v>108505001</v>
      </c>
      <c r="F2184" t="s">
        <v>7631</v>
      </c>
      <c r="G2184" t="s">
        <v>42</v>
      </c>
      <c r="H2184" t="s">
        <v>6784</v>
      </c>
      <c r="I2184" t="s">
        <v>6785</v>
      </c>
      <c r="J2184" t="s">
        <v>7632</v>
      </c>
      <c r="K2184" t="str">
        <f>"5208077923"</f>
        <v>5208077923</v>
      </c>
      <c r="L2184" t="str">
        <f>""</f>
        <v/>
      </c>
      <c r="M2184" t="str">
        <f>""</f>
        <v/>
      </c>
      <c r="N2184" t="str">
        <f>""</f>
        <v/>
      </c>
      <c r="O2184" t="s">
        <v>6787</v>
      </c>
      <c r="P2184" t="s">
        <v>7630</v>
      </c>
      <c r="R2184" t="s">
        <v>4169</v>
      </c>
      <c r="S2184" t="s">
        <v>36</v>
      </c>
      <c r="T2184" t="str">
        <f>"85705"</f>
        <v>85705</v>
      </c>
      <c r="U2184" t="str">
        <f>""</f>
        <v/>
      </c>
      <c r="V2184" t="s">
        <v>7630</v>
      </c>
      <c r="X2184" t="s">
        <v>4169</v>
      </c>
      <c r="Y2184" t="s">
        <v>36</v>
      </c>
      <c r="Z2184" t="str">
        <f>"85705"</f>
        <v>85705</v>
      </c>
      <c r="AA2184" t="str">
        <f>""</f>
        <v/>
      </c>
      <c r="AB2184" t="s">
        <v>40</v>
      </c>
    </row>
    <row r="2185" spans="1:28" x14ac:dyDescent="0.25">
      <c r="A2185">
        <v>90333</v>
      </c>
      <c r="B2185" t="str">
        <f>"078570000"</f>
        <v>078570000</v>
      </c>
      <c r="C2185" t="s">
        <v>7633</v>
      </c>
      <c r="D2185">
        <v>0</v>
      </c>
      <c r="E2185" t="str">
        <f>""</f>
        <v/>
      </c>
      <c r="G2185" t="s">
        <v>29</v>
      </c>
      <c r="H2185" t="s">
        <v>3744</v>
      </c>
      <c r="I2185" t="s">
        <v>590</v>
      </c>
      <c r="J2185" t="s">
        <v>6166</v>
      </c>
      <c r="K2185" t="str">
        <f>"6029532933"</f>
        <v>6029532933</v>
      </c>
      <c r="L2185" t="str">
        <f>""</f>
        <v/>
      </c>
      <c r="M2185" t="str">
        <f>"6029530831"</f>
        <v>6029530831</v>
      </c>
      <c r="N2185" t="str">
        <f>""</f>
        <v/>
      </c>
      <c r="O2185" t="s">
        <v>3746</v>
      </c>
      <c r="P2185" t="s">
        <v>6587</v>
      </c>
      <c r="R2185" t="s">
        <v>964</v>
      </c>
      <c r="S2185" t="s">
        <v>36</v>
      </c>
      <c r="T2185" t="str">
        <f>"85020"</f>
        <v>85020</v>
      </c>
      <c r="U2185" t="str">
        <f>""</f>
        <v/>
      </c>
      <c r="V2185" t="s">
        <v>6587</v>
      </c>
      <c r="X2185" t="s">
        <v>964</v>
      </c>
      <c r="Y2185" t="s">
        <v>36</v>
      </c>
      <c r="Z2185" t="str">
        <f>"85020"</f>
        <v>85020</v>
      </c>
      <c r="AA2185" t="str">
        <f>""</f>
        <v/>
      </c>
      <c r="AB2185" t="s">
        <v>1466</v>
      </c>
    </row>
    <row r="2186" spans="1:28" x14ac:dyDescent="0.25">
      <c r="A2186">
        <v>90333</v>
      </c>
      <c r="B2186" t="str">
        <f>"078570000"</f>
        <v>078570000</v>
      </c>
      <c r="C2186" t="s">
        <v>7633</v>
      </c>
      <c r="D2186">
        <v>89866</v>
      </c>
      <c r="E2186" t="str">
        <f>"078570001"</f>
        <v>078570001</v>
      </c>
      <c r="F2186" t="s">
        <v>7633</v>
      </c>
      <c r="G2186" t="s">
        <v>42</v>
      </c>
      <c r="H2186" t="s">
        <v>1561</v>
      </c>
      <c r="I2186" t="s">
        <v>7634</v>
      </c>
      <c r="J2186" t="s">
        <v>301</v>
      </c>
      <c r="K2186" t="str">
        <f>"4803256100"</f>
        <v>4803256100</v>
      </c>
      <c r="L2186" t="str">
        <f>""</f>
        <v/>
      </c>
      <c r="M2186" t="str">
        <f>"4806322077"</f>
        <v>4806322077</v>
      </c>
      <c r="N2186" t="str">
        <f>""</f>
        <v/>
      </c>
      <c r="O2186" t="s">
        <v>7635</v>
      </c>
      <c r="P2186" t="s">
        <v>7636</v>
      </c>
      <c r="R2186" t="s">
        <v>1275</v>
      </c>
      <c r="S2186" t="s">
        <v>36</v>
      </c>
      <c r="T2186" t="str">
        <f>"85234"</f>
        <v>85234</v>
      </c>
      <c r="U2186" t="str">
        <f>""</f>
        <v/>
      </c>
      <c r="V2186" t="s">
        <v>7636</v>
      </c>
      <c r="X2186" t="s">
        <v>1275</v>
      </c>
      <c r="Y2186" t="s">
        <v>36</v>
      </c>
      <c r="Z2186" t="str">
        <f>"85234"</f>
        <v>85234</v>
      </c>
      <c r="AA2186" t="str">
        <f>""</f>
        <v/>
      </c>
      <c r="AB2186" t="s">
        <v>1466</v>
      </c>
    </row>
    <row r="2187" spans="1:28" x14ac:dyDescent="0.25">
      <c r="A2187">
        <v>90334</v>
      </c>
      <c r="B2187" t="str">
        <f>"078571000"</f>
        <v>078571000</v>
      </c>
      <c r="C2187" t="s">
        <v>7637</v>
      </c>
      <c r="D2187">
        <v>0</v>
      </c>
      <c r="E2187" t="str">
        <f>""</f>
        <v/>
      </c>
      <c r="G2187" t="s">
        <v>29</v>
      </c>
      <c r="H2187" t="s">
        <v>3744</v>
      </c>
      <c r="I2187" t="s">
        <v>590</v>
      </c>
      <c r="J2187" t="s">
        <v>3745</v>
      </c>
      <c r="K2187" t="str">
        <f>"6029532933"</f>
        <v>6029532933</v>
      </c>
      <c r="L2187" t="str">
        <f>""</f>
        <v/>
      </c>
      <c r="M2187" t="str">
        <f>""</f>
        <v/>
      </c>
      <c r="N2187" t="str">
        <f>""</f>
        <v/>
      </c>
      <c r="O2187" t="s">
        <v>3746</v>
      </c>
      <c r="P2187" t="s">
        <v>3747</v>
      </c>
      <c r="R2187" t="s">
        <v>964</v>
      </c>
      <c r="S2187" t="s">
        <v>36</v>
      </c>
      <c r="T2187" t="str">
        <f>"85020"</f>
        <v>85020</v>
      </c>
      <c r="U2187" t="str">
        <f>""</f>
        <v/>
      </c>
      <c r="V2187" t="s">
        <v>3747</v>
      </c>
      <c r="X2187" t="s">
        <v>964</v>
      </c>
      <c r="Y2187" t="s">
        <v>36</v>
      </c>
      <c r="Z2187" t="str">
        <f>"85020"</f>
        <v>85020</v>
      </c>
      <c r="AA2187" t="str">
        <f>""</f>
        <v/>
      </c>
      <c r="AB2187" t="s">
        <v>1466</v>
      </c>
    </row>
    <row r="2188" spans="1:28" x14ac:dyDescent="0.25">
      <c r="A2188">
        <v>90334</v>
      </c>
      <c r="B2188" t="str">
        <f>"078571000"</f>
        <v>078571000</v>
      </c>
      <c r="C2188" t="s">
        <v>7637</v>
      </c>
      <c r="D2188">
        <v>89868</v>
      </c>
      <c r="E2188" t="str">
        <f>"078571001"</f>
        <v>078571001</v>
      </c>
      <c r="F2188" t="s">
        <v>7638</v>
      </c>
      <c r="G2188" t="s">
        <v>42</v>
      </c>
      <c r="H2188" t="s">
        <v>1949</v>
      </c>
      <c r="I2188" t="s">
        <v>7639</v>
      </c>
      <c r="J2188" t="s">
        <v>3787</v>
      </c>
      <c r="K2188" t="str">
        <f>"4808303444"</f>
        <v>4808303444</v>
      </c>
      <c r="L2188" t="str">
        <f>""</f>
        <v/>
      </c>
      <c r="M2188" t="str">
        <f>"4808304335"</f>
        <v>4808304335</v>
      </c>
      <c r="N2188" t="str">
        <f>""</f>
        <v/>
      </c>
      <c r="O2188" t="s">
        <v>7640</v>
      </c>
      <c r="P2188" t="s">
        <v>7641</v>
      </c>
      <c r="R2188" t="s">
        <v>979</v>
      </c>
      <c r="S2188" t="s">
        <v>36</v>
      </c>
      <c r="T2188" t="str">
        <f>"85212"</f>
        <v>85212</v>
      </c>
      <c r="U2188" t="str">
        <f>""</f>
        <v/>
      </c>
      <c r="V2188" t="s">
        <v>7641</v>
      </c>
      <c r="X2188" t="s">
        <v>979</v>
      </c>
      <c r="Y2188" t="s">
        <v>36</v>
      </c>
      <c r="Z2188" t="str">
        <f>"85212"</f>
        <v>85212</v>
      </c>
      <c r="AA2188" t="str">
        <f>""</f>
        <v/>
      </c>
      <c r="AB2188" t="s">
        <v>1466</v>
      </c>
    </row>
    <row r="2189" spans="1:28" x14ac:dyDescent="0.25">
      <c r="A2189">
        <v>90506</v>
      </c>
      <c r="B2189" t="str">
        <f>"108506000"</f>
        <v>108506000</v>
      </c>
      <c r="C2189" t="s">
        <v>7642</v>
      </c>
      <c r="D2189">
        <v>0</v>
      </c>
      <c r="E2189" t="str">
        <f>""</f>
        <v/>
      </c>
      <c r="G2189" t="s">
        <v>29</v>
      </c>
      <c r="H2189" t="s">
        <v>3871</v>
      </c>
      <c r="I2189" t="s">
        <v>7643</v>
      </c>
      <c r="J2189" t="s">
        <v>449</v>
      </c>
      <c r="K2189" t="str">
        <f>"5207773757"</f>
        <v>5207773757</v>
      </c>
      <c r="L2189" t="str">
        <f>""</f>
        <v/>
      </c>
      <c r="M2189" t="str">
        <f>""</f>
        <v/>
      </c>
      <c r="N2189" t="str">
        <f>""</f>
        <v/>
      </c>
      <c r="O2189" t="s">
        <v>7644</v>
      </c>
      <c r="P2189" t="s">
        <v>7645</v>
      </c>
      <c r="R2189" t="s">
        <v>4169</v>
      </c>
      <c r="S2189" t="s">
        <v>36</v>
      </c>
      <c r="T2189" t="str">
        <f>"85716"</f>
        <v>85716</v>
      </c>
      <c r="U2189" t="str">
        <f>""</f>
        <v/>
      </c>
      <c r="V2189" t="s">
        <v>7645</v>
      </c>
      <c r="X2189" t="s">
        <v>4169</v>
      </c>
      <c r="Y2189" t="s">
        <v>36</v>
      </c>
      <c r="Z2189" t="str">
        <f>"85716"</f>
        <v>85716</v>
      </c>
      <c r="AA2189" t="str">
        <f>""</f>
        <v/>
      </c>
      <c r="AB2189" t="s">
        <v>56</v>
      </c>
    </row>
    <row r="2190" spans="1:28" x14ac:dyDescent="0.25">
      <c r="A2190">
        <v>90506</v>
      </c>
      <c r="B2190" t="str">
        <f>"108506000"</f>
        <v>108506000</v>
      </c>
      <c r="C2190" t="s">
        <v>7642</v>
      </c>
      <c r="D2190">
        <v>87415</v>
      </c>
      <c r="E2190" t="str">
        <f>"108717102"</f>
        <v>108717102</v>
      </c>
      <c r="F2190" t="s">
        <v>7646</v>
      </c>
      <c r="G2190" t="s">
        <v>42</v>
      </c>
      <c r="H2190" t="s">
        <v>1541</v>
      </c>
      <c r="I2190" t="s">
        <v>7643</v>
      </c>
      <c r="J2190" t="s">
        <v>202</v>
      </c>
      <c r="K2190" t="str">
        <f>"6028216900"</f>
        <v>6028216900</v>
      </c>
      <c r="L2190" t="str">
        <f>""</f>
        <v/>
      </c>
      <c r="M2190" t="str">
        <f>""</f>
        <v/>
      </c>
      <c r="N2190" t="str">
        <f>""</f>
        <v/>
      </c>
      <c r="O2190" t="s">
        <v>7647</v>
      </c>
      <c r="P2190" t="s">
        <v>7648</v>
      </c>
      <c r="R2190" t="s">
        <v>4169</v>
      </c>
      <c r="S2190" t="s">
        <v>36</v>
      </c>
      <c r="T2190" t="str">
        <f>"85712"</f>
        <v>85712</v>
      </c>
      <c r="U2190" t="str">
        <f>""</f>
        <v/>
      </c>
      <c r="V2190" t="s">
        <v>7648</v>
      </c>
      <c r="X2190" t="s">
        <v>4169</v>
      </c>
      <c r="Y2190" t="s">
        <v>36</v>
      </c>
      <c r="Z2190" t="str">
        <f>"85712"</f>
        <v>85712</v>
      </c>
      <c r="AA2190" t="str">
        <f>""</f>
        <v/>
      </c>
      <c r="AB2190" t="s">
        <v>56</v>
      </c>
    </row>
    <row r="2191" spans="1:28" x14ac:dyDescent="0.25">
      <c r="A2191">
        <v>90506</v>
      </c>
      <c r="B2191" t="str">
        <f>"108506000"</f>
        <v>108506000</v>
      </c>
      <c r="C2191" t="s">
        <v>7642</v>
      </c>
      <c r="D2191">
        <v>90507</v>
      </c>
      <c r="E2191" t="str">
        <f>"108506101"</f>
        <v>108506101</v>
      </c>
      <c r="F2191" t="s">
        <v>7649</v>
      </c>
      <c r="G2191" t="s">
        <v>42</v>
      </c>
      <c r="H2191" t="s">
        <v>3871</v>
      </c>
      <c r="I2191" t="s">
        <v>7643</v>
      </c>
      <c r="J2191" t="s">
        <v>449</v>
      </c>
      <c r="K2191" t="str">
        <f>"5207773757"</f>
        <v>5207773757</v>
      </c>
      <c r="L2191" t="str">
        <f>""</f>
        <v/>
      </c>
      <c r="M2191" t="str">
        <f>"5202076489"</f>
        <v>5202076489</v>
      </c>
      <c r="N2191" t="str">
        <f>""</f>
        <v/>
      </c>
      <c r="O2191" t="s">
        <v>7644</v>
      </c>
      <c r="P2191" t="s">
        <v>7645</v>
      </c>
      <c r="R2191" t="s">
        <v>4169</v>
      </c>
      <c r="S2191" t="s">
        <v>36</v>
      </c>
      <c r="T2191" t="str">
        <f>"85716"</f>
        <v>85716</v>
      </c>
      <c r="U2191" t="str">
        <f>""</f>
        <v/>
      </c>
      <c r="V2191" t="s">
        <v>7645</v>
      </c>
      <c r="X2191" t="s">
        <v>4169</v>
      </c>
      <c r="Y2191" t="s">
        <v>36</v>
      </c>
      <c r="Z2191" t="str">
        <f>"85716"</f>
        <v>85716</v>
      </c>
      <c r="AA2191" t="str">
        <f>""</f>
        <v/>
      </c>
      <c r="AB2191" t="s">
        <v>56</v>
      </c>
    </row>
    <row r="2192" spans="1:28" x14ac:dyDescent="0.25">
      <c r="A2192">
        <v>90535</v>
      </c>
      <c r="B2192" t="str">
        <f>"078580000"</f>
        <v>078580000</v>
      </c>
      <c r="C2192" t="s">
        <v>7650</v>
      </c>
      <c r="D2192">
        <v>0</v>
      </c>
      <c r="E2192" t="str">
        <f>""</f>
        <v/>
      </c>
      <c r="G2192" t="s">
        <v>29</v>
      </c>
      <c r="H2192" t="s">
        <v>3744</v>
      </c>
      <c r="I2192" t="s">
        <v>590</v>
      </c>
      <c r="J2192" t="s">
        <v>3745</v>
      </c>
      <c r="K2192" t="str">
        <f>"6029532933"</f>
        <v>6029532933</v>
      </c>
      <c r="L2192" t="str">
        <f>""</f>
        <v/>
      </c>
      <c r="M2192" t="str">
        <f>""</f>
        <v/>
      </c>
      <c r="N2192" t="str">
        <f>""</f>
        <v/>
      </c>
      <c r="O2192" t="s">
        <v>3746</v>
      </c>
      <c r="P2192" t="s">
        <v>3747</v>
      </c>
      <c r="R2192" t="s">
        <v>964</v>
      </c>
      <c r="S2192" t="s">
        <v>36</v>
      </c>
      <c r="T2192" t="str">
        <f>"85020"</f>
        <v>85020</v>
      </c>
      <c r="U2192" t="str">
        <f>""</f>
        <v/>
      </c>
      <c r="V2192" t="s">
        <v>3747</v>
      </c>
      <c r="X2192" t="s">
        <v>964</v>
      </c>
      <c r="Y2192" t="s">
        <v>36</v>
      </c>
      <c r="Z2192" t="str">
        <f>"85020"</f>
        <v>85020</v>
      </c>
      <c r="AA2192" t="str">
        <f>""</f>
        <v/>
      </c>
      <c r="AB2192" t="s">
        <v>1466</v>
      </c>
    </row>
    <row r="2193" spans="1:28" x14ac:dyDescent="0.25">
      <c r="A2193">
        <v>90535</v>
      </c>
      <c r="B2193" t="str">
        <f>"078580000"</f>
        <v>078580000</v>
      </c>
      <c r="C2193" t="s">
        <v>7650</v>
      </c>
      <c r="D2193">
        <v>91157</v>
      </c>
      <c r="E2193" t="str">
        <f>"078580001"</f>
        <v>078580001</v>
      </c>
      <c r="F2193" t="s">
        <v>7651</v>
      </c>
      <c r="G2193" t="s">
        <v>42</v>
      </c>
      <c r="H2193" t="s">
        <v>4985</v>
      </c>
      <c r="I2193" t="s">
        <v>6417</v>
      </c>
      <c r="J2193" t="s">
        <v>3787</v>
      </c>
      <c r="K2193" t="str">
        <f>"9288544011"</f>
        <v>9288544011</v>
      </c>
      <c r="L2193" t="str">
        <f>""</f>
        <v/>
      </c>
      <c r="M2193" t="str">
        <f>"9284534042"</f>
        <v>9284534042</v>
      </c>
      <c r="N2193" t="str">
        <f>""</f>
        <v/>
      </c>
      <c r="O2193" t="s">
        <v>7652</v>
      </c>
      <c r="P2193" t="s">
        <v>7653</v>
      </c>
      <c r="R2193" t="s">
        <v>3796</v>
      </c>
      <c r="S2193" t="s">
        <v>36</v>
      </c>
      <c r="T2193" t="str">
        <f>"86406"</f>
        <v>86406</v>
      </c>
      <c r="U2193" t="str">
        <f>""</f>
        <v/>
      </c>
      <c r="V2193" t="s">
        <v>7653</v>
      </c>
      <c r="X2193" t="s">
        <v>3796</v>
      </c>
      <c r="Y2193" t="s">
        <v>36</v>
      </c>
      <c r="Z2193" t="str">
        <f>"86406"</f>
        <v>86406</v>
      </c>
      <c r="AA2193" t="str">
        <f>""</f>
        <v/>
      </c>
      <c r="AB2193" t="s">
        <v>1466</v>
      </c>
    </row>
    <row r="2194" spans="1:28" x14ac:dyDescent="0.25">
      <c r="A2194">
        <v>90536</v>
      </c>
      <c r="B2194" t="str">
        <f>"108507000"</f>
        <v>108507000</v>
      </c>
      <c r="C2194" t="s">
        <v>7654</v>
      </c>
      <c r="D2194">
        <v>0</v>
      </c>
      <c r="E2194" t="str">
        <f>""</f>
        <v/>
      </c>
      <c r="G2194" t="s">
        <v>29</v>
      </c>
      <c r="H2194" t="s">
        <v>1375</v>
      </c>
      <c r="I2194" t="s">
        <v>6671</v>
      </c>
      <c r="J2194" t="s">
        <v>6672</v>
      </c>
      <c r="K2194" t="str">
        <f>"5203262528"</f>
        <v>5203262528</v>
      </c>
      <c r="L2194" t="str">
        <f>""</f>
        <v/>
      </c>
      <c r="M2194" t="str">
        <f>"5203262527"</f>
        <v>5203262527</v>
      </c>
      <c r="N2194" t="str">
        <f>""</f>
        <v/>
      </c>
      <c r="O2194" t="s">
        <v>6673</v>
      </c>
      <c r="P2194" t="s">
        <v>6674</v>
      </c>
      <c r="Q2194" t="s">
        <v>6675</v>
      </c>
      <c r="R2194" t="s">
        <v>4169</v>
      </c>
      <c r="S2194" t="s">
        <v>36</v>
      </c>
      <c r="T2194" t="str">
        <f>"85711"</f>
        <v>85711</v>
      </c>
      <c r="U2194" t="str">
        <f>""</f>
        <v/>
      </c>
      <c r="V2194" t="s">
        <v>6674</v>
      </c>
      <c r="W2194" t="s">
        <v>6675</v>
      </c>
      <c r="X2194" t="s">
        <v>4169</v>
      </c>
      <c r="Y2194" t="s">
        <v>36</v>
      </c>
      <c r="Z2194" t="str">
        <f>"85711"</f>
        <v>85711</v>
      </c>
      <c r="AA2194" t="str">
        <f>""</f>
        <v/>
      </c>
      <c r="AB2194" t="s">
        <v>217</v>
      </c>
    </row>
    <row r="2195" spans="1:28" x14ac:dyDescent="0.25">
      <c r="A2195">
        <v>90536</v>
      </c>
      <c r="B2195" t="str">
        <f>"108507000"</f>
        <v>108507000</v>
      </c>
      <c r="C2195" t="s">
        <v>7654</v>
      </c>
      <c r="D2195">
        <v>90907</v>
      </c>
      <c r="E2195" t="str">
        <f>"108507001"</f>
        <v>108507001</v>
      </c>
      <c r="F2195" t="s">
        <v>7655</v>
      </c>
      <c r="G2195" t="s">
        <v>42</v>
      </c>
      <c r="H2195" t="s">
        <v>1375</v>
      </c>
      <c r="I2195" t="s">
        <v>6671</v>
      </c>
      <c r="J2195" t="s">
        <v>6672</v>
      </c>
      <c r="K2195" t="str">
        <f>"5203262528"</f>
        <v>5203262528</v>
      </c>
      <c r="L2195" t="str">
        <f>""</f>
        <v/>
      </c>
      <c r="M2195" t="str">
        <f>"5203262527"</f>
        <v>5203262527</v>
      </c>
      <c r="N2195" t="str">
        <f>""</f>
        <v/>
      </c>
      <c r="O2195" t="s">
        <v>6673</v>
      </c>
      <c r="P2195" t="s">
        <v>6674</v>
      </c>
      <c r="R2195" t="s">
        <v>4169</v>
      </c>
      <c r="S2195" t="s">
        <v>36</v>
      </c>
      <c r="T2195" t="str">
        <f>"85711"</f>
        <v>85711</v>
      </c>
      <c r="U2195" t="str">
        <f>""</f>
        <v/>
      </c>
      <c r="V2195" t="s">
        <v>7656</v>
      </c>
      <c r="X2195" t="s">
        <v>964</v>
      </c>
      <c r="Y2195" t="s">
        <v>36</v>
      </c>
      <c r="Z2195" t="str">
        <f>"85017"</f>
        <v>85017</v>
      </c>
      <c r="AA2195" t="str">
        <f>""</f>
        <v/>
      </c>
      <c r="AB2195" t="s">
        <v>217</v>
      </c>
    </row>
    <row r="2196" spans="1:28" x14ac:dyDescent="0.25">
      <c r="A2196">
        <v>90541</v>
      </c>
      <c r="B2196" t="str">
        <f>"078577000"</f>
        <v>078577000</v>
      </c>
      <c r="C2196" t="s">
        <v>7657</v>
      </c>
      <c r="D2196">
        <v>0</v>
      </c>
      <c r="E2196" t="str">
        <f>""</f>
        <v/>
      </c>
      <c r="G2196" t="s">
        <v>29</v>
      </c>
      <c r="H2196" t="s">
        <v>7658</v>
      </c>
      <c r="I2196" t="s">
        <v>7659</v>
      </c>
      <c r="J2196" t="s">
        <v>7484</v>
      </c>
      <c r="K2196" t="str">
        <f>"6237769344"</f>
        <v>6237769344</v>
      </c>
      <c r="L2196" t="str">
        <f>""</f>
        <v/>
      </c>
      <c r="M2196" t="str">
        <f>"6239338001"</f>
        <v>6239338001</v>
      </c>
      <c r="N2196" t="str">
        <f>""</f>
        <v/>
      </c>
      <c r="O2196" t="s">
        <v>7660</v>
      </c>
      <c r="P2196" t="s">
        <v>7661</v>
      </c>
      <c r="R2196" t="s">
        <v>1165</v>
      </c>
      <c r="S2196" t="s">
        <v>36</v>
      </c>
      <c r="T2196" t="str">
        <f>"85382"</f>
        <v>85382</v>
      </c>
      <c r="U2196" t="str">
        <f>""</f>
        <v/>
      </c>
      <c r="V2196" t="s">
        <v>7661</v>
      </c>
      <c r="X2196" t="s">
        <v>1165</v>
      </c>
      <c r="Y2196" t="s">
        <v>36</v>
      </c>
      <c r="Z2196" t="str">
        <f>"85382"</f>
        <v>85382</v>
      </c>
      <c r="AA2196" t="str">
        <f>""</f>
        <v/>
      </c>
      <c r="AB2196" t="s">
        <v>821</v>
      </c>
    </row>
    <row r="2197" spans="1:28" x14ac:dyDescent="0.25">
      <c r="A2197">
        <v>90541</v>
      </c>
      <c r="B2197" t="str">
        <f>"078577000"</f>
        <v>078577000</v>
      </c>
      <c r="C2197" t="s">
        <v>7657</v>
      </c>
      <c r="D2197">
        <v>90639</v>
      </c>
      <c r="E2197" t="str">
        <f>"078577001"</f>
        <v>078577001</v>
      </c>
      <c r="F2197" t="s">
        <v>7662</v>
      </c>
      <c r="G2197" t="s">
        <v>42</v>
      </c>
      <c r="H2197" t="s">
        <v>7658</v>
      </c>
      <c r="I2197" t="s">
        <v>7663</v>
      </c>
      <c r="J2197" t="s">
        <v>6194</v>
      </c>
      <c r="K2197" t="str">
        <f>"6237769355"</f>
        <v>6237769355</v>
      </c>
      <c r="L2197" t="str">
        <f>""</f>
        <v/>
      </c>
      <c r="M2197" t="str">
        <f>"6239405458"</f>
        <v>6239405458</v>
      </c>
      <c r="N2197" t="str">
        <f>""</f>
        <v/>
      </c>
      <c r="O2197" t="s">
        <v>7660</v>
      </c>
      <c r="P2197" t="s">
        <v>7664</v>
      </c>
      <c r="R2197" t="s">
        <v>1165</v>
      </c>
      <c r="S2197" t="s">
        <v>36</v>
      </c>
      <c r="T2197" t="str">
        <f>"85382"</f>
        <v>85382</v>
      </c>
      <c r="U2197" t="str">
        <f>""</f>
        <v/>
      </c>
      <c r="V2197" t="s">
        <v>7664</v>
      </c>
      <c r="X2197" t="s">
        <v>1165</v>
      </c>
      <c r="Y2197" t="s">
        <v>36</v>
      </c>
      <c r="Z2197" t="str">
        <f>"85382"</f>
        <v>85382</v>
      </c>
      <c r="AA2197" t="str">
        <f>""</f>
        <v/>
      </c>
      <c r="AB2197" t="s">
        <v>821</v>
      </c>
    </row>
    <row r="2198" spans="1:28" x14ac:dyDescent="0.25">
      <c r="A2198">
        <v>90548</v>
      </c>
      <c r="B2198" t="str">
        <f>"078576000"</f>
        <v>078576000</v>
      </c>
      <c r="C2198" t="s">
        <v>7665</v>
      </c>
      <c r="D2198">
        <v>0</v>
      </c>
      <c r="E2198" t="str">
        <f>""</f>
        <v/>
      </c>
      <c r="G2198" t="s">
        <v>29</v>
      </c>
      <c r="H2198" t="s">
        <v>3744</v>
      </c>
      <c r="I2198" t="s">
        <v>590</v>
      </c>
      <c r="J2198" t="s">
        <v>3745</v>
      </c>
      <c r="K2198" t="str">
        <f>"6029532933"</f>
        <v>6029532933</v>
      </c>
      <c r="L2198" t="str">
        <f>""</f>
        <v/>
      </c>
      <c r="M2198" t="str">
        <f>""</f>
        <v/>
      </c>
      <c r="N2198" t="str">
        <f>""</f>
        <v/>
      </c>
      <c r="O2198" t="s">
        <v>3746</v>
      </c>
      <c r="P2198" t="s">
        <v>3747</v>
      </c>
      <c r="R2198" t="s">
        <v>964</v>
      </c>
      <c r="S2198" t="s">
        <v>36</v>
      </c>
      <c r="T2198" t="str">
        <f>"85020"</f>
        <v>85020</v>
      </c>
      <c r="U2198" t="str">
        <f>""</f>
        <v/>
      </c>
      <c r="V2198" t="s">
        <v>3747</v>
      </c>
      <c r="X2198" t="s">
        <v>964</v>
      </c>
      <c r="Y2198" t="s">
        <v>36</v>
      </c>
      <c r="Z2198" t="str">
        <f>"85020"</f>
        <v>85020</v>
      </c>
      <c r="AA2198" t="str">
        <f>""</f>
        <v/>
      </c>
      <c r="AB2198" t="s">
        <v>1466</v>
      </c>
    </row>
    <row r="2199" spans="1:28" x14ac:dyDescent="0.25">
      <c r="A2199">
        <v>90548</v>
      </c>
      <c r="B2199" t="str">
        <f>"078576000"</f>
        <v>078576000</v>
      </c>
      <c r="C2199" t="s">
        <v>7665</v>
      </c>
      <c r="D2199">
        <v>91158</v>
      </c>
      <c r="E2199" t="str">
        <f>"078576001"</f>
        <v>078576001</v>
      </c>
      <c r="F2199" t="s">
        <v>7666</v>
      </c>
      <c r="G2199" t="s">
        <v>42</v>
      </c>
      <c r="H2199" t="s">
        <v>403</v>
      </c>
      <c r="I2199" t="s">
        <v>7667</v>
      </c>
      <c r="J2199" t="s">
        <v>301</v>
      </c>
      <c r="K2199" t="str">
        <f>"5208369383"</f>
        <v>5208369383</v>
      </c>
      <c r="L2199" t="str">
        <f>""</f>
        <v/>
      </c>
      <c r="M2199" t="str">
        <f>"5208369662"</f>
        <v>5208369662</v>
      </c>
      <c r="N2199" t="str">
        <f>""</f>
        <v/>
      </c>
      <c r="O2199" t="s">
        <v>7668</v>
      </c>
      <c r="P2199" t="s">
        <v>7669</v>
      </c>
      <c r="R2199" t="s">
        <v>4738</v>
      </c>
      <c r="S2199" t="s">
        <v>36</v>
      </c>
      <c r="T2199" t="str">
        <f>"85122"</f>
        <v>85122</v>
      </c>
      <c r="U2199" t="str">
        <f>""</f>
        <v/>
      </c>
      <c r="V2199" t="s">
        <v>7669</v>
      </c>
      <c r="X2199" t="s">
        <v>4738</v>
      </c>
      <c r="Y2199" t="s">
        <v>36</v>
      </c>
      <c r="Z2199" t="str">
        <f>"85122"</f>
        <v>85122</v>
      </c>
      <c r="AA2199" t="str">
        <f>""</f>
        <v/>
      </c>
      <c r="AB2199" t="s">
        <v>1466</v>
      </c>
    </row>
    <row r="2200" spans="1:28" x14ac:dyDescent="0.25">
      <c r="A2200">
        <v>90637</v>
      </c>
      <c r="B2200" t="str">
        <f>"118708000"</f>
        <v>118708000</v>
      </c>
      <c r="C2200" t="s">
        <v>7670</v>
      </c>
      <c r="D2200">
        <v>0</v>
      </c>
      <c r="E2200" t="str">
        <f>""</f>
        <v/>
      </c>
      <c r="G2200" t="s">
        <v>29</v>
      </c>
      <c r="H2200" t="s">
        <v>6690</v>
      </c>
      <c r="I2200" t="s">
        <v>6691</v>
      </c>
      <c r="J2200" t="s">
        <v>6692</v>
      </c>
      <c r="K2200" t="str">
        <f>"4806330414"</f>
        <v>4806330414</v>
      </c>
      <c r="L2200" t="str">
        <f>"801"</f>
        <v>801</v>
      </c>
      <c r="M2200" t="str">
        <f>""</f>
        <v/>
      </c>
      <c r="N2200" t="str">
        <f>""</f>
        <v/>
      </c>
      <c r="O2200" t="s">
        <v>6693</v>
      </c>
      <c r="P2200" t="s">
        <v>6694</v>
      </c>
      <c r="Q2200" t="s">
        <v>6695</v>
      </c>
      <c r="R2200" t="s">
        <v>1275</v>
      </c>
      <c r="S2200" t="s">
        <v>36</v>
      </c>
      <c r="T2200" t="str">
        <f>"85296"</f>
        <v>85296</v>
      </c>
      <c r="U2200" t="str">
        <f>""</f>
        <v/>
      </c>
      <c r="V2200" t="s">
        <v>7671</v>
      </c>
      <c r="X2200" t="s">
        <v>2281</v>
      </c>
      <c r="Y2200" t="s">
        <v>36</v>
      </c>
      <c r="Z2200" t="str">
        <f>"85138"</f>
        <v>85138</v>
      </c>
      <c r="AA2200" t="str">
        <f>""</f>
        <v/>
      </c>
      <c r="AB2200" t="s">
        <v>156</v>
      </c>
    </row>
    <row r="2201" spans="1:28" x14ac:dyDescent="0.25">
      <c r="A2201">
        <v>90637</v>
      </c>
      <c r="B2201" t="str">
        <f>"118708000"</f>
        <v>118708000</v>
      </c>
      <c r="C2201" t="s">
        <v>7670</v>
      </c>
      <c r="D2201">
        <v>90638</v>
      </c>
      <c r="E2201" t="str">
        <f>"118708001"</f>
        <v>118708001</v>
      </c>
      <c r="F2201" t="s">
        <v>7670</v>
      </c>
      <c r="G2201" t="s">
        <v>42</v>
      </c>
      <c r="H2201" t="s">
        <v>7672</v>
      </c>
      <c r="I2201" t="s">
        <v>7673</v>
      </c>
      <c r="J2201" t="s">
        <v>971</v>
      </c>
      <c r="K2201" t="str">
        <f>"5205687800"</f>
        <v>5205687800</v>
      </c>
      <c r="L2201" t="str">
        <f>""</f>
        <v/>
      </c>
      <c r="M2201" t="str">
        <f>""</f>
        <v/>
      </c>
      <c r="N2201" t="str">
        <f>""</f>
        <v/>
      </c>
      <c r="O2201" t="s">
        <v>7674</v>
      </c>
      <c r="P2201" t="s">
        <v>6694</v>
      </c>
      <c r="Q2201" t="s">
        <v>6695</v>
      </c>
      <c r="R2201" t="s">
        <v>1275</v>
      </c>
      <c r="S2201" t="s">
        <v>36</v>
      </c>
      <c r="T2201" t="str">
        <f>"85296"</f>
        <v>85296</v>
      </c>
      <c r="U2201" t="str">
        <f>""</f>
        <v/>
      </c>
      <c r="V2201" t="s">
        <v>7671</v>
      </c>
      <c r="X2201" t="s">
        <v>2281</v>
      </c>
      <c r="Y2201" t="s">
        <v>36</v>
      </c>
      <c r="Z2201" t="str">
        <f>"85138"</f>
        <v>85138</v>
      </c>
      <c r="AA2201" t="str">
        <f>""</f>
        <v/>
      </c>
      <c r="AB2201" t="s">
        <v>156</v>
      </c>
    </row>
    <row r="2202" spans="1:28" x14ac:dyDescent="0.25">
      <c r="A2202">
        <v>90790</v>
      </c>
      <c r="B2202" t="str">
        <f>"093917000"</f>
        <v>093917000</v>
      </c>
      <c r="C2202" t="s">
        <v>7675</v>
      </c>
      <c r="D2202">
        <v>0</v>
      </c>
      <c r="E2202" t="str">
        <f>""</f>
        <v/>
      </c>
      <c r="G2202" t="s">
        <v>29</v>
      </c>
      <c r="H2202" t="s">
        <v>7676</v>
      </c>
      <c r="I2202" t="s">
        <v>4133</v>
      </c>
      <c r="J2202" t="s">
        <v>134</v>
      </c>
      <c r="K2202" t="str">
        <f>"9286723512"</f>
        <v>9286723512</v>
      </c>
      <c r="L2202" t="str">
        <f>""</f>
        <v/>
      </c>
      <c r="M2202" t="str">
        <f>"9286723501"</f>
        <v>9286723501</v>
      </c>
      <c r="N2202" t="str">
        <f>""</f>
        <v/>
      </c>
      <c r="O2202" t="s">
        <v>7677</v>
      </c>
      <c r="P2202" t="s">
        <v>7678</v>
      </c>
      <c r="R2202" t="s">
        <v>7679</v>
      </c>
      <c r="S2202" t="s">
        <v>36</v>
      </c>
      <c r="T2202" t="str">
        <f>"86054"</f>
        <v>86054</v>
      </c>
      <c r="U2202" t="str">
        <f>"7900"</f>
        <v>7900</v>
      </c>
      <c r="V2202" t="s">
        <v>7680</v>
      </c>
      <c r="X2202" t="s">
        <v>7679</v>
      </c>
      <c r="Y2202" t="s">
        <v>36</v>
      </c>
      <c r="Z2202" t="str">
        <f>"86054"</f>
        <v>86054</v>
      </c>
      <c r="AA2202" t="str">
        <f>"7900"</f>
        <v>7900</v>
      </c>
      <c r="AB2202" t="s">
        <v>124</v>
      </c>
    </row>
    <row r="2203" spans="1:28" x14ac:dyDescent="0.25">
      <c r="A2203">
        <v>90790</v>
      </c>
      <c r="B2203" t="str">
        <f>"093917000"</f>
        <v>093917000</v>
      </c>
      <c r="C2203" t="s">
        <v>7675</v>
      </c>
      <c r="D2203">
        <v>5653</v>
      </c>
      <c r="E2203" t="str">
        <f>"098746001"</f>
        <v>098746001</v>
      </c>
      <c r="F2203" t="s">
        <v>7681</v>
      </c>
      <c r="G2203" t="s">
        <v>42</v>
      </c>
      <c r="H2203" t="s">
        <v>7682</v>
      </c>
      <c r="I2203" t="s">
        <v>180</v>
      </c>
      <c r="J2203" t="s">
        <v>195</v>
      </c>
      <c r="K2203" t="str">
        <f>"9286723536"</f>
        <v>9286723536</v>
      </c>
      <c r="L2203" t="str">
        <f>""</f>
        <v/>
      </c>
      <c r="M2203" t="str">
        <f>"9286723501"</f>
        <v>9286723501</v>
      </c>
      <c r="N2203" t="str">
        <f>""</f>
        <v/>
      </c>
      <c r="O2203" t="s">
        <v>7683</v>
      </c>
      <c r="P2203" t="s">
        <v>7678</v>
      </c>
      <c r="R2203" t="s">
        <v>7679</v>
      </c>
      <c r="S2203" t="s">
        <v>36</v>
      </c>
      <c r="T2203" t="str">
        <f>"86054"</f>
        <v>86054</v>
      </c>
      <c r="U2203" t="str">
        <f>"7900"</f>
        <v>7900</v>
      </c>
      <c r="V2203" t="s">
        <v>7684</v>
      </c>
      <c r="X2203" t="s">
        <v>7679</v>
      </c>
      <c r="Y2203" t="s">
        <v>36</v>
      </c>
      <c r="Z2203" t="str">
        <f>"86054"</f>
        <v>86054</v>
      </c>
      <c r="AA2203" t="str">
        <f>"7900"</f>
        <v>7900</v>
      </c>
      <c r="AB2203" t="s">
        <v>124</v>
      </c>
    </row>
    <row r="2204" spans="1:28" x14ac:dyDescent="0.25">
      <c r="A2204">
        <v>90790</v>
      </c>
      <c r="B2204" t="str">
        <f>"093917000"</f>
        <v>093917000</v>
      </c>
      <c r="C2204" t="s">
        <v>7675</v>
      </c>
      <c r="D2204">
        <v>90791</v>
      </c>
      <c r="E2204" t="str">
        <f>"093917001"</f>
        <v>093917001</v>
      </c>
      <c r="F2204" t="s">
        <v>7685</v>
      </c>
      <c r="G2204" t="s">
        <v>42</v>
      </c>
      <c r="H2204" t="s">
        <v>7682</v>
      </c>
      <c r="I2204" t="s">
        <v>180</v>
      </c>
      <c r="J2204" t="s">
        <v>195</v>
      </c>
      <c r="K2204" t="str">
        <f>"9286723536"</f>
        <v>9286723536</v>
      </c>
      <c r="L2204" t="str">
        <f>""</f>
        <v/>
      </c>
      <c r="M2204" t="str">
        <f>"9286723501"</f>
        <v>9286723501</v>
      </c>
      <c r="N2204" t="str">
        <f>""</f>
        <v/>
      </c>
      <c r="O2204" t="s">
        <v>7683</v>
      </c>
      <c r="P2204" t="s">
        <v>7678</v>
      </c>
      <c r="R2204" t="s">
        <v>7679</v>
      </c>
      <c r="S2204" t="s">
        <v>36</v>
      </c>
      <c r="T2204" t="str">
        <f>"86054"</f>
        <v>86054</v>
      </c>
      <c r="U2204" t="str">
        <f>"7900"</f>
        <v>7900</v>
      </c>
      <c r="V2204" t="s">
        <v>7686</v>
      </c>
      <c r="X2204" t="s">
        <v>7679</v>
      </c>
      <c r="Y2204" t="s">
        <v>36</v>
      </c>
      <c r="Z2204" t="str">
        <f>"86054"</f>
        <v>86054</v>
      </c>
      <c r="AA2204" t="str">
        <f>"7900"</f>
        <v>7900</v>
      </c>
      <c r="AB2204" t="s">
        <v>124</v>
      </c>
    </row>
    <row r="2205" spans="1:28" x14ac:dyDescent="0.25">
      <c r="A2205">
        <v>90861</v>
      </c>
      <c r="B2205" t="str">
        <f>"078592000"</f>
        <v>078592000</v>
      </c>
      <c r="C2205" t="s">
        <v>7687</v>
      </c>
      <c r="D2205">
        <v>0</v>
      </c>
      <c r="E2205" t="str">
        <f>""</f>
        <v/>
      </c>
      <c r="G2205" t="s">
        <v>29</v>
      </c>
      <c r="H2205" t="s">
        <v>7688</v>
      </c>
      <c r="I2205" t="s">
        <v>7689</v>
      </c>
      <c r="J2205" t="s">
        <v>7690</v>
      </c>
      <c r="K2205" t="str">
        <f>"6232476095"</f>
        <v>6232476095</v>
      </c>
      <c r="L2205" t="str">
        <f>"312"</f>
        <v>312</v>
      </c>
      <c r="M2205" t="str">
        <f>"6238896282"</f>
        <v>6238896282</v>
      </c>
      <c r="N2205" t="str">
        <f>""</f>
        <v/>
      </c>
      <c r="O2205" t="s">
        <v>7691</v>
      </c>
      <c r="P2205" t="s">
        <v>7692</v>
      </c>
      <c r="R2205" t="s">
        <v>964</v>
      </c>
      <c r="S2205" t="s">
        <v>36</v>
      </c>
      <c r="T2205" t="str">
        <f>"85031"</f>
        <v>85031</v>
      </c>
      <c r="U2205" t="str">
        <f>""</f>
        <v/>
      </c>
      <c r="V2205" t="s">
        <v>7692</v>
      </c>
      <c r="X2205" t="s">
        <v>964</v>
      </c>
      <c r="Y2205" t="s">
        <v>36</v>
      </c>
      <c r="Z2205" t="str">
        <f>"85031"</f>
        <v>85031</v>
      </c>
      <c r="AA2205" t="str">
        <f>""</f>
        <v/>
      </c>
      <c r="AB2205" t="s">
        <v>265</v>
      </c>
    </row>
    <row r="2206" spans="1:28" x14ac:dyDescent="0.25">
      <c r="A2206">
        <v>90861</v>
      </c>
      <c r="B2206" t="str">
        <f>"078592000"</f>
        <v>078592000</v>
      </c>
      <c r="C2206" t="s">
        <v>7687</v>
      </c>
      <c r="D2206">
        <v>91781</v>
      </c>
      <c r="E2206" t="str">
        <f>"078592001"</f>
        <v>078592001</v>
      </c>
      <c r="F2206" t="s">
        <v>7693</v>
      </c>
      <c r="G2206" t="s">
        <v>42</v>
      </c>
      <c r="H2206" t="s">
        <v>7688</v>
      </c>
      <c r="I2206" t="s">
        <v>7689</v>
      </c>
      <c r="J2206" t="s">
        <v>7694</v>
      </c>
      <c r="K2206" t="str">
        <f>"6232476095"</f>
        <v>6232476095</v>
      </c>
      <c r="L2206" t="str">
        <f>"301"</f>
        <v>301</v>
      </c>
      <c r="M2206" t="str">
        <f>"6238896282"</f>
        <v>6238896282</v>
      </c>
      <c r="N2206" t="str">
        <f>""</f>
        <v/>
      </c>
      <c r="O2206" t="s">
        <v>7691</v>
      </c>
      <c r="P2206" t="s">
        <v>7692</v>
      </c>
      <c r="R2206" t="s">
        <v>964</v>
      </c>
      <c r="S2206" t="s">
        <v>36</v>
      </c>
      <c r="T2206" t="str">
        <f>"85031"</f>
        <v>85031</v>
      </c>
      <c r="U2206" t="str">
        <f>""</f>
        <v/>
      </c>
      <c r="V2206" t="s">
        <v>7692</v>
      </c>
      <c r="X2206" t="s">
        <v>964</v>
      </c>
      <c r="Y2206" t="s">
        <v>36</v>
      </c>
      <c r="Z2206" t="str">
        <f>"85031"</f>
        <v>85031</v>
      </c>
      <c r="AA2206" t="str">
        <f>""</f>
        <v/>
      </c>
      <c r="AB2206" t="s">
        <v>265</v>
      </c>
    </row>
    <row r="2207" spans="1:28" x14ac:dyDescent="0.25">
      <c r="A2207">
        <v>90876</v>
      </c>
      <c r="B2207" t="str">
        <f>"108735000"</f>
        <v>108735000</v>
      </c>
      <c r="C2207" t="s">
        <v>7695</v>
      </c>
      <c r="D2207">
        <v>0</v>
      </c>
      <c r="E2207" t="str">
        <f>""</f>
        <v/>
      </c>
      <c r="G2207" t="s">
        <v>29</v>
      </c>
      <c r="H2207" t="s">
        <v>7696</v>
      </c>
      <c r="I2207" t="s">
        <v>2592</v>
      </c>
      <c r="J2207" t="s">
        <v>7697</v>
      </c>
      <c r="K2207" t="str">
        <f>"5206152200"</f>
        <v>5206152200</v>
      </c>
      <c r="L2207" t="str">
        <f>""</f>
        <v/>
      </c>
      <c r="M2207" t="str">
        <f>"5206152112"</f>
        <v>5206152112</v>
      </c>
      <c r="N2207" t="str">
        <f>""</f>
        <v/>
      </c>
      <c r="O2207" t="s">
        <v>7698</v>
      </c>
      <c r="P2207" t="s">
        <v>7699</v>
      </c>
      <c r="R2207" t="s">
        <v>4169</v>
      </c>
      <c r="S2207" t="s">
        <v>36</v>
      </c>
      <c r="T2207" t="str">
        <f>"85711"</f>
        <v>85711</v>
      </c>
      <c r="U2207" t="str">
        <f>""</f>
        <v/>
      </c>
      <c r="V2207" t="s">
        <v>7699</v>
      </c>
      <c r="X2207" t="s">
        <v>4169</v>
      </c>
      <c r="Y2207" t="s">
        <v>36</v>
      </c>
      <c r="Z2207" t="str">
        <f>"85711"</f>
        <v>85711</v>
      </c>
      <c r="AA2207" t="str">
        <f>""</f>
        <v/>
      </c>
      <c r="AB2207" t="s">
        <v>2345</v>
      </c>
    </row>
    <row r="2208" spans="1:28" x14ac:dyDescent="0.25">
      <c r="A2208">
        <v>90876</v>
      </c>
      <c r="B2208" t="str">
        <f>"108735000"</f>
        <v>108735000</v>
      </c>
      <c r="C2208" t="s">
        <v>7695</v>
      </c>
      <c r="D2208">
        <v>91782</v>
      </c>
      <c r="E2208" t="str">
        <f>"108735001"</f>
        <v>108735001</v>
      </c>
      <c r="F2208" t="s">
        <v>7700</v>
      </c>
      <c r="G2208" t="s">
        <v>42</v>
      </c>
      <c r="H2208" t="s">
        <v>7701</v>
      </c>
      <c r="I2208" t="s">
        <v>7702</v>
      </c>
      <c r="J2208" t="s">
        <v>3686</v>
      </c>
      <c r="K2208" t="str">
        <f>"5206152200"</f>
        <v>5206152200</v>
      </c>
      <c r="L2208" t="str">
        <f>""</f>
        <v/>
      </c>
      <c r="M2208" t="str">
        <f>"5206152112"</f>
        <v>5206152112</v>
      </c>
      <c r="N2208" t="str">
        <f>""</f>
        <v/>
      </c>
      <c r="O2208" t="s">
        <v>7703</v>
      </c>
      <c r="P2208" t="s">
        <v>7699</v>
      </c>
      <c r="R2208" t="s">
        <v>4169</v>
      </c>
      <c r="S2208" t="s">
        <v>36</v>
      </c>
      <c r="T2208" t="str">
        <f>"85711"</f>
        <v>85711</v>
      </c>
      <c r="U2208" t="str">
        <f>""</f>
        <v/>
      </c>
      <c r="V2208" t="s">
        <v>7699</v>
      </c>
      <c r="X2208" t="s">
        <v>4169</v>
      </c>
      <c r="Y2208" t="s">
        <v>36</v>
      </c>
      <c r="Z2208" t="str">
        <f>"85711"</f>
        <v>85711</v>
      </c>
      <c r="AA2208" t="str">
        <f>""</f>
        <v/>
      </c>
      <c r="AB2208" t="s">
        <v>2345</v>
      </c>
    </row>
    <row r="2209" spans="1:28" x14ac:dyDescent="0.25">
      <c r="A2209">
        <v>90878</v>
      </c>
      <c r="B2209" t="str">
        <f>"078242000"</f>
        <v>078242000</v>
      </c>
      <c r="C2209" t="s">
        <v>7704</v>
      </c>
      <c r="D2209">
        <v>0</v>
      </c>
      <c r="E2209" t="str">
        <f>""</f>
        <v/>
      </c>
      <c r="G2209" t="s">
        <v>29</v>
      </c>
      <c r="H2209" t="s">
        <v>943</v>
      </c>
      <c r="I2209" t="s">
        <v>6681</v>
      </c>
      <c r="J2209" t="s">
        <v>6682</v>
      </c>
      <c r="K2209" t="str">
        <f>"5208875392"</f>
        <v>5208875392</v>
      </c>
      <c r="L2209" t="str">
        <f>""</f>
        <v/>
      </c>
      <c r="M2209" t="str">
        <f>""</f>
        <v/>
      </c>
      <c r="N2209" t="str">
        <f>""</f>
        <v/>
      </c>
      <c r="O2209" t="s">
        <v>6683</v>
      </c>
      <c r="P2209" t="s">
        <v>7705</v>
      </c>
      <c r="R2209" t="s">
        <v>964</v>
      </c>
      <c r="S2209" t="s">
        <v>36</v>
      </c>
      <c r="T2209" t="str">
        <f>"85035"</f>
        <v>85035</v>
      </c>
      <c r="U2209" t="str">
        <f>""</f>
        <v/>
      </c>
      <c r="V2209" t="s">
        <v>7705</v>
      </c>
      <c r="X2209" t="s">
        <v>964</v>
      </c>
      <c r="Y2209" t="s">
        <v>36</v>
      </c>
      <c r="Z2209" t="str">
        <f>"85035"</f>
        <v>85035</v>
      </c>
      <c r="AA2209" t="str">
        <f>""</f>
        <v/>
      </c>
      <c r="AB2209" t="s">
        <v>821</v>
      </c>
    </row>
    <row r="2210" spans="1:28" x14ac:dyDescent="0.25">
      <c r="A2210">
        <v>90878</v>
      </c>
      <c r="B2210" t="str">
        <f>"078242000"</f>
        <v>078242000</v>
      </c>
      <c r="C2210" t="s">
        <v>7704</v>
      </c>
      <c r="D2210">
        <v>92197</v>
      </c>
      <c r="E2210" t="str">
        <f>"078242001"</f>
        <v>078242001</v>
      </c>
      <c r="F2210" t="s">
        <v>7706</v>
      </c>
      <c r="G2210" t="s">
        <v>42</v>
      </c>
      <c r="H2210" t="s">
        <v>7707</v>
      </c>
      <c r="I2210" t="s">
        <v>7708</v>
      </c>
      <c r="J2210" t="s">
        <v>5661</v>
      </c>
      <c r="K2210" t="str">
        <f>"6028889572"</f>
        <v>6028889572</v>
      </c>
      <c r="L2210" t="str">
        <f>""</f>
        <v/>
      </c>
      <c r="M2210" t="str">
        <f>"6024564038"</f>
        <v>6024564038</v>
      </c>
      <c r="N2210" t="str">
        <f>""</f>
        <v/>
      </c>
      <c r="O2210" t="s">
        <v>7709</v>
      </c>
      <c r="P2210" t="s">
        <v>7710</v>
      </c>
      <c r="R2210" t="s">
        <v>964</v>
      </c>
      <c r="S2210" t="s">
        <v>36</v>
      </c>
      <c r="T2210" t="str">
        <f>"85017"</f>
        <v>85017</v>
      </c>
      <c r="U2210" t="str">
        <f>""</f>
        <v/>
      </c>
      <c r="V2210" t="s">
        <v>7710</v>
      </c>
      <c r="X2210" t="s">
        <v>964</v>
      </c>
      <c r="Y2210" t="s">
        <v>36</v>
      </c>
      <c r="Z2210" t="str">
        <f>"85017"</f>
        <v>85017</v>
      </c>
      <c r="AA2210" t="str">
        <f>""</f>
        <v/>
      </c>
      <c r="AB2210" t="s">
        <v>821</v>
      </c>
    </row>
    <row r="2211" spans="1:28" x14ac:dyDescent="0.25">
      <c r="A2211">
        <v>90878</v>
      </c>
      <c r="B2211" t="str">
        <f>"078242000"</f>
        <v>078242000</v>
      </c>
      <c r="C2211" t="s">
        <v>7704</v>
      </c>
      <c r="D2211">
        <v>911531</v>
      </c>
      <c r="E2211" t="str">
        <f>"078242002"</f>
        <v>078242002</v>
      </c>
      <c r="F2211" t="s">
        <v>7711</v>
      </c>
      <c r="G2211" t="s">
        <v>42</v>
      </c>
      <c r="H2211" t="s">
        <v>7712</v>
      </c>
      <c r="I2211" t="s">
        <v>7713</v>
      </c>
      <c r="J2211" t="s">
        <v>486</v>
      </c>
      <c r="K2211" t="str">
        <f>"6232422597"</f>
        <v>6232422597</v>
      </c>
      <c r="L2211" t="str">
        <f>""</f>
        <v/>
      </c>
      <c r="M2211" t="str">
        <f>""</f>
        <v/>
      </c>
      <c r="N2211" t="str">
        <f>""</f>
        <v/>
      </c>
      <c r="O2211" t="s">
        <v>7714</v>
      </c>
      <c r="P2211" t="s">
        <v>7715</v>
      </c>
      <c r="R2211" t="s">
        <v>964</v>
      </c>
      <c r="S2211" t="s">
        <v>36</v>
      </c>
      <c r="T2211" t="str">
        <f>"85035"</f>
        <v>85035</v>
      </c>
      <c r="U2211" t="str">
        <f>""</f>
        <v/>
      </c>
      <c r="V2211" t="s">
        <v>7715</v>
      </c>
      <c r="X2211" t="s">
        <v>964</v>
      </c>
      <c r="Y2211" t="s">
        <v>36</v>
      </c>
      <c r="Z2211" t="str">
        <f>"85035"</f>
        <v>85035</v>
      </c>
      <c r="AA2211" t="str">
        <f>""</f>
        <v/>
      </c>
      <c r="AB2211" t="s">
        <v>821</v>
      </c>
    </row>
    <row r="2212" spans="1:28" x14ac:dyDescent="0.25">
      <c r="A2212">
        <v>90884</v>
      </c>
      <c r="B2212" t="str">
        <f>"078585000"</f>
        <v>078585000</v>
      </c>
      <c r="C2212" t="s">
        <v>7716</v>
      </c>
      <c r="D2212">
        <v>0</v>
      </c>
      <c r="E2212" t="str">
        <f>""</f>
        <v/>
      </c>
      <c r="G2212" t="s">
        <v>29</v>
      </c>
      <c r="H2212" t="s">
        <v>840</v>
      </c>
      <c r="I2212" t="s">
        <v>3137</v>
      </c>
      <c r="J2212" t="s">
        <v>3734</v>
      </c>
      <c r="K2212" t="str">
        <f>"4802192121"</f>
        <v>4802192121</v>
      </c>
      <c r="L2212" t="str">
        <f>""</f>
        <v/>
      </c>
      <c r="M2212" t="str">
        <f>"6026336787"</f>
        <v>6026336787</v>
      </c>
      <c r="N2212" t="str">
        <f>""</f>
        <v/>
      </c>
      <c r="O2212" t="s">
        <v>7717</v>
      </c>
      <c r="P2212" t="s">
        <v>7718</v>
      </c>
      <c r="R2212" t="s">
        <v>964</v>
      </c>
      <c r="S2212" t="s">
        <v>36</v>
      </c>
      <c r="T2212" t="str">
        <f>"85042"</f>
        <v>85042</v>
      </c>
      <c r="U2212" t="str">
        <f>""</f>
        <v/>
      </c>
      <c r="V2212" t="s">
        <v>7718</v>
      </c>
      <c r="X2212" t="s">
        <v>964</v>
      </c>
      <c r="Y2212" t="s">
        <v>36</v>
      </c>
      <c r="Z2212" t="str">
        <f>"85042"</f>
        <v>85042</v>
      </c>
      <c r="AA2212" t="str">
        <f>""</f>
        <v/>
      </c>
      <c r="AB2212" t="s">
        <v>4547</v>
      </c>
    </row>
    <row r="2213" spans="1:28" x14ac:dyDescent="0.25">
      <c r="A2213">
        <v>90884</v>
      </c>
      <c r="B2213" t="str">
        <f>"078585000"</f>
        <v>078585000</v>
      </c>
      <c r="C2213" t="s">
        <v>7716</v>
      </c>
      <c r="D2213">
        <v>91712</v>
      </c>
      <c r="E2213" t="str">
        <f>"078585001"</f>
        <v>078585001</v>
      </c>
      <c r="F2213" t="s">
        <v>7719</v>
      </c>
      <c r="G2213" t="s">
        <v>42</v>
      </c>
      <c r="H2213" t="s">
        <v>840</v>
      </c>
      <c r="I2213" t="s">
        <v>3137</v>
      </c>
      <c r="J2213" t="s">
        <v>3734</v>
      </c>
      <c r="K2213" t="str">
        <f>"4802192121"</f>
        <v>4802192121</v>
      </c>
      <c r="L2213" t="str">
        <f>""</f>
        <v/>
      </c>
      <c r="M2213" t="str">
        <f>""</f>
        <v/>
      </c>
      <c r="N2213" t="str">
        <f>""</f>
        <v/>
      </c>
      <c r="O2213" t="s">
        <v>7717</v>
      </c>
      <c r="P2213" t="s">
        <v>7718</v>
      </c>
      <c r="R2213" t="s">
        <v>964</v>
      </c>
      <c r="S2213" t="s">
        <v>36</v>
      </c>
      <c r="T2213" t="str">
        <f>"85042"</f>
        <v>85042</v>
      </c>
      <c r="U2213" t="str">
        <f>""</f>
        <v/>
      </c>
      <c r="V2213" t="s">
        <v>7718</v>
      </c>
      <c r="X2213" t="s">
        <v>964</v>
      </c>
      <c r="Y2213" t="s">
        <v>36</v>
      </c>
      <c r="Z2213" t="str">
        <f>"85042"</f>
        <v>85042</v>
      </c>
      <c r="AA2213" t="str">
        <f>""</f>
        <v/>
      </c>
      <c r="AB2213" t="s">
        <v>4547</v>
      </c>
    </row>
    <row r="2214" spans="1:28" x14ac:dyDescent="0.25">
      <c r="A2214">
        <v>90906</v>
      </c>
      <c r="B2214" t="str">
        <f>"078594000"</f>
        <v>078594000</v>
      </c>
      <c r="C2214" t="s">
        <v>7720</v>
      </c>
      <c r="D2214">
        <v>0</v>
      </c>
      <c r="E2214" t="str">
        <f>""</f>
        <v/>
      </c>
      <c r="G2214" t="s">
        <v>29</v>
      </c>
      <c r="H2214" t="s">
        <v>435</v>
      </c>
      <c r="I2214" t="s">
        <v>7721</v>
      </c>
      <c r="J2214" t="s">
        <v>301</v>
      </c>
      <c r="K2214" t="str">
        <f>"4808881342"</f>
        <v>4808881342</v>
      </c>
      <c r="L2214" t="str">
        <f>""</f>
        <v/>
      </c>
      <c r="M2214" t="str">
        <f>"4808888450"</f>
        <v>4808888450</v>
      </c>
      <c r="N2214" t="str">
        <f>""</f>
        <v/>
      </c>
      <c r="O2214" t="s">
        <v>7722</v>
      </c>
      <c r="P2214" t="s">
        <v>7723</v>
      </c>
      <c r="R2214" t="s">
        <v>4784</v>
      </c>
      <c r="S2214" t="s">
        <v>36</v>
      </c>
      <c r="T2214" t="str">
        <f>"85140"</f>
        <v>85140</v>
      </c>
      <c r="U2214" t="str">
        <f>""</f>
        <v/>
      </c>
      <c r="V2214" t="s">
        <v>7723</v>
      </c>
      <c r="X2214" t="s">
        <v>4784</v>
      </c>
      <c r="Y2214" t="s">
        <v>36</v>
      </c>
      <c r="Z2214" t="str">
        <f>"85140"</f>
        <v>85140</v>
      </c>
      <c r="AA2214" t="str">
        <f>""</f>
        <v/>
      </c>
      <c r="AB2214" t="s">
        <v>699</v>
      </c>
    </row>
    <row r="2215" spans="1:28" x14ac:dyDescent="0.25">
      <c r="A2215">
        <v>90906</v>
      </c>
      <c r="B2215" t="str">
        <f>"078594000"</f>
        <v>078594000</v>
      </c>
      <c r="C2215" t="s">
        <v>7720</v>
      </c>
      <c r="D2215">
        <v>91818</v>
      </c>
      <c r="E2215" t="str">
        <f>"078594001"</f>
        <v>078594001</v>
      </c>
      <c r="F2215" t="s">
        <v>7724</v>
      </c>
      <c r="G2215" t="s">
        <v>42</v>
      </c>
      <c r="H2215" t="s">
        <v>435</v>
      </c>
      <c r="I2215" t="s">
        <v>7721</v>
      </c>
      <c r="J2215" t="s">
        <v>7725</v>
      </c>
      <c r="K2215" t="str">
        <f>"4808881342"</f>
        <v>4808881342</v>
      </c>
      <c r="L2215" t="str">
        <f>""</f>
        <v/>
      </c>
      <c r="M2215" t="str">
        <f>"4808888450"</f>
        <v>4808888450</v>
      </c>
      <c r="N2215" t="str">
        <f>""</f>
        <v/>
      </c>
      <c r="O2215" t="s">
        <v>7722</v>
      </c>
      <c r="P2215" t="s">
        <v>7723</v>
      </c>
      <c r="R2215" t="s">
        <v>4784</v>
      </c>
      <c r="S2215" t="s">
        <v>36</v>
      </c>
      <c r="T2215" t="str">
        <f>"85140"</f>
        <v>85140</v>
      </c>
      <c r="U2215" t="str">
        <f>""</f>
        <v/>
      </c>
      <c r="V2215" t="s">
        <v>7723</v>
      </c>
      <c r="X2215" t="s">
        <v>4784</v>
      </c>
      <c r="Y2215" t="s">
        <v>36</v>
      </c>
      <c r="Z2215" t="str">
        <f>"85140"</f>
        <v>85140</v>
      </c>
      <c r="AA2215" t="str">
        <f>""</f>
        <v/>
      </c>
      <c r="AB2215" t="s">
        <v>699</v>
      </c>
    </row>
    <row r="2216" spans="1:28" x14ac:dyDescent="0.25">
      <c r="A2216">
        <v>90995</v>
      </c>
      <c r="B2216" t="str">
        <f>"013903000"</f>
        <v>013903000</v>
      </c>
      <c r="C2216" t="s">
        <v>7726</v>
      </c>
      <c r="D2216">
        <v>0</v>
      </c>
      <c r="E2216" t="str">
        <f>""</f>
        <v/>
      </c>
      <c r="G2216" t="s">
        <v>29</v>
      </c>
      <c r="H2216" t="s">
        <v>752</v>
      </c>
      <c r="I2216" t="s">
        <v>7727</v>
      </c>
      <c r="J2216" t="s">
        <v>134</v>
      </c>
      <c r="K2216" t="str">
        <f>"9287816221"</f>
        <v>9287816221</v>
      </c>
      <c r="L2216" t="str">
        <f>"234"</f>
        <v>234</v>
      </c>
      <c r="M2216" t="str">
        <f>"9287816400"</f>
        <v>9287816400</v>
      </c>
      <c r="N2216" t="str">
        <f>""</f>
        <v/>
      </c>
      <c r="O2216" t="s">
        <v>7728</v>
      </c>
      <c r="P2216" t="s">
        <v>7729</v>
      </c>
      <c r="Q2216" t="s">
        <v>7730</v>
      </c>
      <c r="R2216" t="s">
        <v>6175</v>
      </c>
      <c r="S2216" t="s">
        <v>36</v>
      </c>
      <c r="T2216" t="str">
        <f>"86538"</f>
        <v>86538</v>
      </c>
      <c r="U2216" t="str">
        <f>""</f>
        <v/>
      </c>
      <c r="V2216" t="s">
        <v>7729</v>
      </c>
      <c r="W2216" t="s">
        <v>7731</v>
      </c>
      <c r="X2216" t="s">
        <v>6175</v>
      </c>
      <c r="Y2216" t="s">
        <v>36</v>
      </c>
      <c r="Z2216" t="str">
        <f>"86538"</f>
        <v>86538</v>
      </c>
      <c r="AA2216" t="str">
        <f>""</f>
        <v/>
      </c>
      <c r="AB2216" t="s">
        <v>632</v>
      </c>
    </row>
    <row r="2217" spans="1:28" x14ac:dyDescent="0.25">
      <c r="A2217">
        <v>90995</v>
      </c>
      <c r="B2217" t="str">
        <f>"013903000"</f>
        <v>013903000</v>
      </c>
      <c r="C2217" t="s">
        <v>7726</v>
      </c>
      <c r="D2217">
        <v>90996</v>
      </c>
      <c r="E2217" t="str">
        <f>"013903001"</f>
        <v>013903001</v>
      </c>
      <c r="F2217" t="s">
        <v>7732</v>
      </c>
      <c r="G2217" t="s">
        <v>42</v>
      </c>
      <c r="H2217" t="s">
        <v>2082</v>
      </c>
      <c r="I2217" t="s">
        <v>7733</v>
      </c>
      <c r="J2217" t="s">
        <v>4820</v>
      </c>
      <c r="K2217" t="str">
        <f>"9287816221"</f>
        <v>9287816221</v>
      </c>
      <c r="L2217" t="str">
        <f>"260"</f>
        <v>260</v>
      </c>
      <c r="M2217" t="str">
        <f>"9287816376"</f>
        <v>9287816376</v>
      </c>
      <c r="N2217" t="str">
        <f>""</f>
        <v/>
      </c>
      <c r="O2217" t="s">
        <v>7734</v>
      </c>
      <c r="P2217" t="s">
        <v>7729</v>
      </c>
      <c r="Q2217" t="s">
        <v>7730</v>
      </c>
      <c r="R2217" t="s">
        <v>6175</v>
      </c>
      <c r="S2217" t="s">
        <v>36</v>
      </c>
      <c r="T2217" t="str">
        <f>"86538"</f>
        <v>86538</v>
      </c>
      <c r="U2217" t="str">
        <f>""</f>
        <v/>
      </c>
      <c r="V2217" t="s">
        <v>7729</v>
      </c>
      <c r="W2217" t="s">
        <v>7731</v>
      </c>
      <c r="X2217" t="s">
        <v>6175</v>
      </c>
      <c r="Y2217" t="s">
        <v>36</v>
      </c>
      <c r="Z2217" t="str">
        <f>"86538"</f>
        <v>86538</v>
      </c>
      <c r="AA2217" t="str">
        <f>""</f>
        <v/>
      </c>
      <c r="AB2217" t="s">
        <v>632</v>
      </c>
    </row>
    <row r="2218" spans="1:28" x14ac:dyDescent="0.25">
      <c r="A2218">
        <v>91170</v>
      </c>
      <c r="B2218" t="str">
        <f>"078202000"</f>
        <v>078202000</v>
      </c>
      <c r="C2218" t="s">
        <v>7735</v>
      </c>
      <c r="D2218">
        <v>0</v>
      </c>
      <c r="E2218" t="str">
        <f>""</f>
        <v/>
      </c>
      <c r="G2218" t="s">
        <v>29</v>
      </c>
      <c r="H2218" t="s">
        <v>7736</v>
      </c>
      <c r="I2218" t="s">
        <v>7737</v>
      </c>
      <c r="J2218" t="s">
        <v>7738</v>
      </c>
      <c r="K2218" t="str">
        <f>"6022681212"</f>
        <v>6022681212</v>
      </c>
      <c r="L2218" t="str">
        <f>""</f>
        <v/>
      </c>
      <c r="M2218" t="str">
        <f>"6022375140"</f>
        <v>6022375140</v>
      </c>
      <c r="N2218" t="str">
        <f>""</f>
        <v/>
      </c>
      <c r="O2218" t="s">
        <v>7739</v>
      </c>
      <c r="P2218" t="s">
        <v>7740</v>
      </c>
      <c r="R2218" t="s">
        <v>964</v>
      </c>
      <c r="S2218" t="s">
        <v>36</v>
      </c>
      <c r="T2218" t="str">
        <f>"85040"</f>
        <v>85040</v>
      </c>
      <c r="U2218" t="str">
        <f>""</f>
        <v/>
      </c>
      <c r="V2218" t="s">
        <v>7740</v>
      </c>
      <c r="X2218" t="s">
        <v>964</v>
      </c>
      <c r="Y2218" t="s">
        <v>36</v>
      </c>
      <c r="Z2218" t="str">
        <f>"85040"</f>
        <v>85040</v>
      </c>
      <c r="AA2218" t="str">
        <f>""</f>
        <v/>
      </c>
      <c r="AB2218" t="s">
        <v>86</v>
      </c>
    </row>
    <row r="2219" spans="1:28" x14ac:dyDescent="0.25">
      <c r="A2219">
        <v>91170</v>
      </c>
      <c r="B2219" t="str">
        <f>"078202000"</f>
        <v>078202000</v>
      </c>
      <c r="C2219" t="s">
        <v>7735</v>
      </c>
      <c r="D2219">
        <v>91171</v>
      </c>
      <c r="E2219" t="str">
        <f>"078202001"</f>
        <v>078202001</v>
      </c>
      <c r="F2219" t="s">
        <v>7741</v>
      </c>
      <c r="G2219" t="s">
        <v>42</v>
      </c>
      <c r="H2219" t="s">
        <v>7736</v>
      </c>
      <c r="I2219" t="s">
        <v>7737</v>
      </c>
      <c r="J2219" t="s">
        <v>7738</v>
      </c>
      <c r="K2219" t="str">
        <f>"6022681212"</f>
        <v>6022681212</v>
      </c>
      <c r="L2219" t="str">
        <f>""</f>
        <v/>
      </c>
      <c r="M2219" t="str">
        <f>"6022375140"</f>
        <v>6022375140</v>
      </c>
      <c r="N2219" t="str">
        <f>""</f>
        <v/>
      </c>
      <c r="O2219" t="s">
        <v>7739</v>
      </c>
      <c r="P2219" t="s">
        <v>7740</v>
      </c>
      <c r="R2219" t="s">
        <v>964</v>
      </c>
      <c r="S2219" t="s">
        <v>36</v>
      </c>
      <c r="T2219" t="str">
        <f>"85040"</f>
        <v>85040</v>
      </c>
      <c r="U2219" t="str">
        <f>""</f>
        <v/>
      </c>
      <c r="V2219" t="s">
        <v>7740</v>
      </c>
      <c r="X2219" t="s">
        <v>964</v>
      </c>
      <c r="Y2219" t="s">
        <v>36</v>
      </c>
      <c r="Z2219" t="str">
        <f>"85040"</f>
        <v>85040</v>
      </c>
      <c r="AA2219" t="str">
        <f>""</f>
        <v/>
      </c>
      <c r="AB2219" t="s">
        <v>86</v>
      </c>
    </row>
    <row r="2220" spans="1:28" x14ac:dyDescent="0.25">
      <c r="A2220">
        <v>91174</v>
      </c>
      <c r="B2220" t="str">
        <f>"078101000"</f>
        <v>078101000</v>
      </c>
      <c r="C2220" t="s">
        <v>7742</v>
      </c>
      <c r="D2220">
        <v>0</v>
      </c>
      <c r="E2220" t="str">
        <f>""</f>
        <v/>
      </c>
      <c r="G2220" t="s">
        <v>29</v>
      </c>
      <c r="H2220" t="s">
        <v>6690</v>
      </c>
      <c r="I2220" t="s">
        <v>6691</v>
      </c>
      <c r="J2220" t="s">
        <v>6692</v>
      </c>
      <c r="K2220" t="str">
        <f>"4806330414"</f>
        <v>4806330414</v>
      </c>
      <c r="L2220" t="str">
        <f>"801"</f>
        <v>801</v>
      </c>
      <c r="M2220" t="str">
        <f>""</f>
        <v/>
      </c>
      <c r="N2220" t="str">
        <f>""</f>
        <v/>
      </c>
      <c r="O2220" t="s">
        <v>6693</v>
      </c>
      <c r="P2220" t="s">
        <v>6699</v>
      </c>
      <c r="Q2220" t="s">
        <v>6695</v>
      </c>
      <c r="R2220" t="s">
        <v>1275</v>
      </c>
      <c r="S2220" t="s">
        <v>36</v>
      </c>
      <c r="T2220" t="str">
        <f>"85296"</f>
        <v>85296</v>
      </c>
      <c r="U2220" t="str">
        <f>""</f>
        <v/>
      </c>
      <c r="V2220" t="s">
        <v>7743</v>
      </c>
      <c r="X2220" t="s">
        <v>1772</v>
      </c>
      <c r="Y2220" t="s">
        <v>36</v>
      </c>
      <c r="Z2220" t="str">
        <f>"85142"</f>
        <v>85142</v>
      </c>
      <c r="AA2220" t="str">
        <f>""</f>
        <v/>
      </c>
      <c r="AB2220" t="s">
        <v>156</v>
      </c>
    </row>
    <row r="2221" spans="1:28" x14ac:dyDescent="0.25">
      <c r="A2221">
        <v>91174</v>
      </c>
      <c r="B2221" t="str">
        <f>"078101000"</f>
        <v>078101000</v>
      </c>
      <c r="C2221" t="s">
        <v>7742</v>
      </c>
      <c r="D2221">
        <v>91175</v>
      </c>
      <c r="E2221" t="str">
        <f>"078101001"</f>
        <v>078101001</v>
      </c>
      <c r="F2221" t="s">
        <v>7744</v>
      </c>
      <c r="G2221" t="s">
        <v>42</v>
      </c>
      <c r="H2221" t="s">
        <v>7745</v>
      </c>
      <c r="I2221" t="s">
        <v>7746</v>
      </c>
      <c r="J2221" t="s">
        <v>6135</v>
      </c>
      <c r="K2221" t="str">
        <f>"4806556787"</f>
        <v>4806556787</v>
      </c>
      <c r="L2221" t="str">
        <f>""</f>
        <v/>
      </c>
      <c r="M2221" t="str">
        <f>""</f>
        <v/>
      </c>
      <c r="N2221" t="str">
        <f>""</f>
        <v/>
      </c>
      <c r="O2221" t="s">
        <v>7747</v>
      </c>
      <c r="P2221" t="s">
        <v>6694</v>
      </c>
      <c r="Q2221" t="s">
        <v>6695</v>
      </c>
      <c r="R2221" t="s">
        <v>1275</v>
      </c>
      <c r="S2221" t="s">
        <v>36</v>
      </c>
      <c r="T2221" t="str">
        <f>"85296"</f>
        <v>85296</v>
      </c>
      <c r="U2221" t="str">
        <f>""</f>
        <v/>
      </c>
      <c r="V2221" t="s">
        <v>7743</v>
      </c>
      <c r="X2221" t="s">
        <v>1772</v>
      </c>
      <c r="Y2221" t="s">
        <v>36</v>
      </c>
      <c r="Z2221" t="str">
        <f>"85142"</f>
        <v>85142</v>
      </c>
      <c r="AA2221" t="str">
        <f>""</f>
        <v/>
      </c>
      <c r="AB2221" t="s">
        <v>156</v>
      </c>
    </row>
    <row r="2222" spans="1:28" x14ac:dyDescent="0.25">
      <c r="A2222">
        <v>91248</v>
      </c>
      <c r="B2222" t="str">
        <f>"094014000"</f>
        <v>094014000</v>
      </c>
      <c r="C2222" t="s">
        <v>7748</v>
      </c>
      <c r="D2222">
        <v>0</v>
      </c>
      <c r="E2222" t="str">
        <f>""</f>
        <v/>
      </c>
      <c r="G2222" t="s">
        <v>29</v>
      </c>
      <c r="H2222" t="s">
        <v>7749</v>
      </c>
      <c r="I2222" t="s">
        <v>7750</v>
      </c>
      <c r="J2222" t="s">
        <v>6088</v>
      </c>
      <c r="K2222" t="str">
        <f>"9287253308"</f>
        <v>9287253308</v>
      </c>
      <c r="L2222" t="str">
        <f>"4243"</f>
        <v>4243</v>
      </c>
      <c r="M2222" t="str">
        <f>"9287253306"</f>
        <v>9287253306</v>
      </c>
      <c r="N2222" t="str">
        <f>""</f>
        <v/>
      </c>
      <c r="O2222" t="s">
        <v>7751</v>
      </c>
      <c r="P2222" t="s">
        <v>7752</v>
      </c>
      <c r="Q2222" t="s">
        <v>7753</v>
      </c>
      <c r="R2222" t="s">
        <v>7754</v>
      </c>
      <c r="S2222" t="s">
        <v>36</v>
      </c>
      <c r="T2222" t="str">
        <f>"86510"</f>
        <v>86510</v>
      </c>
      <c r="U2222" t="str">
        <f>""</f>
        <v/>
      </c>
      <c r="V2222" t="s">
        <v>7752</v>
      </c>
      <c r="W2222" t="s">
        <v>7753</v>
      </c>
      <c r="X2222" t="s">
        <v>7754</v>
      </c>
      <c r="Y2222" t="s">
        <v>36</v>
      </c>
      <c r="Z2222" t="str">
        <f>"86510"</f>
        <v>86510</v>
      </c>
      <c r="AA2222" t="str">
        <f>""</f>
        <v/>
      </c>
      <c r="AB2222" t="s">
        <v>282</v>
      </c>
    </row>
    <row r="2223" spans="1:28" x14ac:dyDescent="0.25">
      <c r="A2223">
        <v>91248</v>
      </c>
      <c r="B2223" t="str">
        <f>"094014000"</f>
        <v>094014000</v>
      </c>
      <c r="C2223" t="s">
        <v>7748</v>
      </c>
      <c r="D2223">
        <v>91249</v>
      </c>
      <c r="E2223" t="str">
        <f>"094014001"</f>
        <v>094014001</v>
      </c>
      <c r="F2223" t="s">
        <v>7748</v>
      </c>
      <c r="G2223" t="s">
        <v>42</v>
      </c>
      <c r="H2223" t="s">
        <v>7749</v>
      </c>
      <c r="I2223" t="s">
        <v>7750</v>
      </c>
      <c r="J2223" t="s">
        <v>6088</v>
      </c>
      <c r="K2223" t="str">
        <f>"9287253308"</f>
        <v>9287253308</v>
      </c>
      <c r="L2223" t="str">
        <f>"4234"</f>
        <v>4234</v>
      </c>
      <c r="M2223" t="str">
        <f>"9287253306"</f>
        <v>9287253306</v>
      </c>
      <c r="N2223" t="str">
        <f>""</f>
        <v/>
      </c>
      <c r="O2223" t="s">
        <v>7751</v>
      </c>
      <c r="P2223" t="s">
        <v>7755</v>
      </c>
      <c r="Q2223" t="s">
        <v>7753</v>
      </c>
      <c r="R2223" t="s">
        <v>7754</v>
      </c>
      <c r="S2223" t="s">
        <v>36</v>
      </c>
      <c r="T2223" t="str">
        <f>"86510"</f>
        <v>86510</v>
      </c>
      <c r="U2223" t="str">
        <f>""</f>
        <v/>
      </c>
      <c r="V2223" t="s">
        <v>7755</v>
      </c>
      <c r="W2223" t="s">
        <v>7753</v>
      </c>
      <c r="X2223" t="s">
        <v>7754</v>
      </c>
      <c r="Y2223" t="s">
        <v>36</v>
      </c>
      <c r="Z2223" t="str">
        <f>"86510"</f>
        <v>86510</v>
      </c>
      <c r="AA2223" t="str">
        <f>""</f>
        <v/>
      </c>
      <c r="AB2223" t="s">
        <v>282</v>
      </c>
    </row>
    <row r="2224" spans="1:28" x14ac:dyDescent="0.25">
      <c r="A2224">
        <v>91250</v>
      </c>
      <c r="B2224" t="str">
        <f>"078206000"</f>
        <v>078206000</v>
      </c>
      <c r="C2224" t="s">
        <v>7756</v>
      </c>
      <c r="D2224">
        <v>0</v>
      </c>
      <c r="E2224" t="str">
        <f>""</f>
        <v/>
      </c>
      <c r="G2224" t="s">
        <v>29</v>
      </c>
      <c r="H2224" t="s">
        <v>293</v>
      </c>
      <c r="I2224" t="s">
        <v>7757</v>
      </c>
      <c r="J2224" t="s">
        <v>7758</v>
      </c>
      <c r="K2224" t="str">
        <f>"6023433040"</f>
        <v>6023433040</v>
      </c>
      <c r="L2224" t="str">
        <f>"3055"</f>
        <v>3055</v>
      </c>
      <c r="M2224" t="str">
        <f>""</f>
        <v/>
      </c>
      <c r="N2224" t="str">
        <f>""</f>
        <v/>
      </c>
      <c r="O2224" t="s">
        <v>7759</v>
      </c>
      <c r="P2224" t="s">
        <v>7760</v>
      </c>
      <c r="R2224" t="s">
        <v>964</v>
      </c>
      <c r="S2224" t="s">
        <v>36</v>
      </c>
      <c r="T2224" t="str">
        <f>"85042"</f>
        <v>85042</v>
      </c>
      <c r="U2224" t="str">
        <f>""</f>
        <v/>
      </c>
      <c r="V2224" t="s">
        <v>7760</v>
      </c>
      <c r="X2224" t="s">
        <v>964</v>
      </c>
      <c r="Y2224" t="s">
        <v>36</v>
      </c>
      <c r="Z2224" t="str">
        <f>"85042"</f>
        <v>85042</v>
      </c>
      <c r="AA2224" t="str">
        <f>""</f>
        <v/>
      </c>
      <c r="AB2224" t="s">
        <v>508</v>
      </c>
    </row>
    <row r="2225" spans="1:28" x14ac:dyDescent="0.25">
      <c r="A2225">
        <v>91250</v>
      </c>
      <c r="B2225" t="str">
        <f>"078206000"</f>
        <v>078206000</v>
      </c>
      <c r="C2225" t="s">
        <v>7756</v>
      </c>
      <c r="D2225">
        <v>91775</v>
      </c>
      <c r="E2225" t="str">
        <f>"078206001"</f>
        <v>078206001</v>
      </c>
      <c r="F2225" t="s">
        <v>7761</v>
      </c>
      <c r="G2225" t="s">
        <v>42</v>
      </c>
      <c r="H2225" t="s">
        <v>293</v>
      </c>
      <c r="I2225" t="s">
        <v>7757</v>
      </c>
      <c r="J2225" t="s">
        <v>7758</v>
      </c>
      <c r="K2225" t="str">
        <f>"6023433040"</f>
        <v>6023433040</v>
      </c>
      <c r="L2225" t="str">
        <f>"3055"</f>
        <v>3055</v>
      </c>
      <c r="M2225" t="str">
        <f>""</f>
        <v/>
      </c>
      <c r="N2225" t="str">
        <f>""</f>
        <v/>
      </c>
      <c r="O2225" t="s">
        <v>7759</v>
      </c>
      <c r="P2225" t="s">
        <v>7760</v>
      </c>
      <c r="R2225" t="s">
        <v>964</v>
      </c>
      <c r="S2225" t="s">
        <v>36</v>
      </c>
      <c r="T2225" t="str">
        <f>"85042"</f>
        <v>85042</v>
      </c>
      <c r="U2225" t="str">
        <f>""</f>
        <v/>
      </c>
      <c r="V2225" t="s">
        <v>7760</v>
      </c>
      <c r="X2225" t="s">
        <v>964</v>
      </c>
      <c r="Y2225" t="s">
        <v>36</v>
      </c>
      <c r="Z2225" t="str">
        <f>"85042"</f>
        <v>85042</v>
      </c>
      <c r="AA2225" t="str">
        <f>""</f>
        <v/>
      </c>
      <c r="AB2225" t="s">
        <v>508</v>
      </c>
    </row>
    <row r="2226" spans="1:28" x14ac:dyDescent="0.25">
      <c r="A2226">
        <v>91262</v>
      </c>
      <c r="B2226" t="str">
        <f>"072151000"</f>
        <v>072151000</v>
      </c>
      <c r="C2226" t="s">
        <v>7762</v>
      </c>
      <c r="D2226">
        <v>0</v>
      </c>
      <c r="E2226" t="str">
        <f>""</f>
        <v/>
      </c>
      <c r="G2226" t="s">
        <v>29</v>
      </c>
      <c r="H2226" t="s">
        <v>7763</v>
      </c>
      <c r="I2226" t="s">
        <v>1647</v>
      </c>
      <c r="J2226" t="s">
        <v>7403</v>
      </c>
      <c r="K2226" t="str">
        <f>"6026827968"</f>
        <v>6026827968</v>
      </c>
      <c r="L2226" t="str">
        <f>""</f>
        <v/>
      </c>
      <c r="M2226" t="str">
        <f>"6025957568"</f>
        <v>6025957568</v>
      </c>
      <c r="N2226" t="str">
        <f>""</f>
        <v/>
      </c>
      <c r="O2226" t="s">
        <v>7764</v>
      </c>
      <c r="P2226" t="s">
        <v>7765</v>
      </c>
      <c r="R2226" t="s">
        <v>964</v>
      </c>
      <c r="S2226" t="s">
        <v>36</v>
      </c>
      <c r="T2226" t="str">
        <f>"85041"</f>
        <v>85041</v>
      </c>
      <c r="U2226" t="str">
        <f>""</f>
        <v/>
      </c>
      <c r="V2226" t="s">
        <v>7765</v>
      </c>
      <c r="X2226" t="s">
        <v>964</v>
      </c>
      <c r="Y2226" t="s">
        <v>36</v>
      </c>
      <c r="Z2226" t="str">
        <f>"85041"</f>
        <v>85041</v>
      </c>
      <c r="AA2226" t="str">
        <f>""</f>
        <v/>
      </c>
      <c r="AB2226" t="s">
        <v>265</v>
      </c>
    </row>
    <row r="2227" spans="1:28" x14ac:dyDescent="0.25">
      <c r="A2227">
        <v>91262</v>
      </c>
      <c r="B2227" t="str">
        <f>"072151000"</f>
        <v>072151000</v>
      </c>
      <c r="C2227" t="s">
        <v>7762</v>
      </c>
      <c r="D2227">
        <v>91263</v>
      </c>
      <c r="E2227" t="str">
        <f>"072151001"</f>
        <v>072151001</v>
      </c>
      <c r="F2227" t="s">
        <v>7762</v>
      </c>
      <c r="G2227" t="s">
        <v>42</v>
      </c>
      <c r="H2227" t="s">
        <v>2037</v>
      </c>
      <c r="I2227" t="s">
        <v>7766</v>
      </c>
      <c r="J2227" t="s">
        <v>7767</v>
      </c>
      <c r="K2227" t="str">
        <f>"6026827368"</f>
        <v>6026827368</v>
      </c>
      <c r="L2227" t="str">
        <f>""</f>
        <v/>
      </c>
      <c r="M2227" t="str">
        <f>""</f>
        <v/>
      </c>
      <c r="N2227" t="str">
        <f>""</f>
        <v/>
      </c>
      <c r="O2227" t="s">
        <v>7768</v>
      </c>
      <c r="P2227" t="s">
        <v>7765</v>
      </c>
      <c r="R2227" t="s">
        <v>964</v>
      </c>
      <c r="S2227" t="s">
        <v>36</v>
      </c>
      <c r="T2227" t="str">
        <f>"85041"</f>
        <v>85041</v>
      </c>
      <c r="U2227" t="str">
        <f>""</f>
        <v/>
      </c>
      <c r="V2227" t="s">
        <v>7765</v>
      </c>
      <c r="X2227" t="s">
        <v>964</v>
      </c>
      <c r="Y2227" t="s">
        <v>36</v>
      </c>
      <c r="Z2227" t="str">
        <f>"85041"</f>
        <v>85041</v>
      </c>
      <c r="AA2227" t="str">
        <f>""</f>
        <v/>
      </c>
      <c r="AB2227" t="s">
        <v>265</v>
      </c>
    </row>
    <row r="2228" spans="1:28" x14ac:dyDescent="0.25">
      <c r="A2228">
        <v>91275</v>
      </c>
      <c r="B2228" t="str">
        <f>"078204000"</f>
        <v>078204000</v>
      </c>
      <c r="C2228" t="s">
        <v>7769</v>
      </c>
      <c r="D2228">
        <v>0</v>
      </c>
      <c r="E2228" t="str">
        <f>""</f>
        <v/>
      </c>
      <c r="G2228" t="s">
        <v>29</v>
      </c>
      <c r="H2228" t="s">
        <v>1681</v>
      </c>
      <c r="I2228" t="s">
        <v>7770</v>
      </c>
      <c r="J2228" t="s">
        <v>3734</v>
      </c>
      <c r="K2228" t="str">
        <f>"4804889362"</f>
        <v>4804889362</v>
      </c>
      <c r="L2228" t="str">
        <f>""</f>
        <v/>
      </c>
      <c r="M2228" t="str">
        <f>""</f>
        <v/>
      </c>
      <c r="N2228" t="str">
        <f>""</f>
        <v/>
      </c>
      <c r="O2228" t="s">
        <v>7771</v>
      </c>
      <c r="P2228" t="s">
        <v>7772</v>
      </c>
      <c r="R2228" t="s">
        <v>1465</v>
      </c>
      <c r="S2228" t="s">
        <v>36</v>
      </c>
      <c r="T2228" t="str">
        <f>"85251"</f>
        <v>85251</v>
      </c>
      <c r="U2228" t="str">
        <f>""</f>
        <v/>
      </c>
      <c r="V2228" t="s">
        <v>7772</v>
      </c>
      <c r="X2228" t="s">
        <v>1465</v>
      </c>
      <c r="Y2228" t="s">
        <v>36</v>
      </c>
      <c r="Z2228" t="str">
        <f>"85251"</f>
        <v>85251</v>
      </c>
      <c r="AA2228" t="str">
        <f>""</f>
        <v/>
      </c>
      <c r="AB2228" t="s">
        <v>282</v>
      </c>
    </row>
    <row r="2229" spans="1:28" x14ac:dyDescent="0.25">
      <c r="A2229">
        <v>91275</v>
      </c>
      <c r="B2229" t="str">
        <f>"078204000"</f>
        <v>078204000</v>
      </c>
      <c r="C2229" t="s">
        <v>7769</v>
      </c>
      <c r="D2229">
        <v>92223</v>
      </c>
      <c r="E2229" t="str">
        <f>"078204001"</f>
        <v>078204001</v>
      </c>
      <c r="F2229" t="s">
        <v>7769</v>
      </c>
      <c r="G2229" t="s">
        <v>42</v>
      </c>
      <c r="H2229" t="s">
        <v>1681</v>
      </c>
      <c r="I2229" t="s">
        <v>7770</v>
      </c>
      <c r="J2229" t="s">
        <v>7773</v>
      </c>
      <c r="K2229" t="str">
        <f>"4804889362"</f>
        <v>4804889362</v>
      </c>
      <c r="L2229" t="str">
        <f>""</f>
        <v/>
      </c>
      <c r="M2229" t="str">
        <f>"4802844247"</f>
        <v>4802844247</v>
      </c>
      <c r="N2229" t="str">
        <f>""</f>
        <v/>
      </c>
      <c r="O2229" t="s">
        <v>7771</v>
      </c>
      <c r="P2229" t="s">
        <v>7774</v>
      </c>
      <c r="R2229" t="s">
        <v>1465</v>
      </c>
      <c r="S2229" t="s">
        <v>36</v>
      </c>
      <c r="T2229" t="str">
        <f>"85251"</f>
        <v>85251</v>
      </c>
      <c r="U2229" t="str">
        <f>""</f>
        <v/>
      </c>
      <c r="V2229" t="s">
        <v>7774</v>
      </c>
      <c r="X2229" t="s">
        <v>1465</v>
      </c>
      <c r="Y2229" t="s">
        <v>36</v>
      </c>
      <c r="Z2229" t="str">
        <f>"85251"</f>
        <v>85251</v>
      </c>
      <c r="AA2229" t="str">
        <f>""</f>
        <v/>
      </c>
      <c r="AB2229" t="s">
        <v>282</v>
      </c>
    </row>
    <row r="2230" spans="1:28" x14ac:dyDescent="0.25">
      <c r="A2230">
        <v>91277</v>
      </c>
      <c r="B2230" t="str">
        <f>"078401000"</f>
        <v>078401000</v>
      </c>
      <c r="C2230" t="s">
        <v>7775</v>
      </c>
      <c r="D2230">
        <v>0</v>
      </c>
      <c r="E2230" t="str">
        <f>""</f>
        <v/>
      </c>
      <c r="G2230" t="s">
        <v>29</v>
      </c>
      <c r="H2230" t="s">
        <v>1808</v>
      </c>
      <c r="I2230" t="s">
        <v>7776</v>
      </c>
      <c r="J2230" t="s">
        <v>7777</v>
      </c>
      <c r="K2230" t="str">
        <f>"6022835720"</f>
        <v>6022835720</v>
      </c>
      <c r="L2230" t="str">
        <f>""</f>
        <v/>
      </c>
      <c r="M2230" t="str">
        <f>"8022835009"</f>
        <v>8022835009</v>
      </c>
      <c r="N2230" t="str">
        <f>""</f>
        <v/>
      </c>
      <c r="O2230" t="s">
        <v>7778</v>
      </c>
      <c r="P2230" t="s">
        <v>7779</v>
      </c>
      <c r="Q2230" t="s">
        <v>7780</v>
      </c>
      <c r="R2230" t="s">
        <v>964</v>
      </c>
      <c r="S2230" t="s">
        <v>36</v>
      </c>
      <c r="T2230" t="str">
        <f>"85012"</f>
        <v>85012</v>
      </c>
      <c r="U2230" t="str">
        <f>""</f>
        <v/>
      </c>
      <c r="V2230" t="s">
        <v>7779</v>
      </c>
      <c r="W2230" t="s">
        <v>7780</v>
      </c>
      <c r="X2230" t="s">
        <v>964</v>
      </c>
      <c r="Y2230" t="s">
        <v>36</v>
      </c>
      <c r="Z2230" t="str">
        <f>"85012"</f>
        <v>85012</v>
      </c>
      <c r="AA2230" t="str">
        <f>""</f>
        <v/>
      </c>
      <c r="AB2230" t="s">
        <v>2345</v>
      </c>
    </row>
    <row r="2231" spans="1:28" x14ac:dyDescent="0.25">
      <c r="A2231">
        <v>91277</v>
      </c>
      <c r="B2231" t="str">
        <f>"078401000"</f>
        <v>078401000</v>
      </c>
      <c r="C2231" t="s">
        <v>7775</v>
      </c>
      <c r="D2231">
        <v>91783</v>
      </c>
      <c r="E2231" t="str">
        <f>"078401001"</f>
        <v>078401001</v>
      </c>
      <c r="F2231" t="s">
        <v>7775</v>
      </c>
      <c r="G2231" t="s">
        <v>42</v>
      </c>
      <c r="H2231" t="s">
        <v>7781</v>
      </c>
      <c r="I2231" t="s">
        <v>7782</v>
      </c>
      <c r="J2231" t="s">
        <v>301</v>
      </c>
      <c r="K2231" t="str">
        <f>"6027535895"</f>
        <v>6027535895</v>
      </c>
      <c r="L2231" t="str">
        <f>""</f>
        <v/>
      </c>
      <c r="M2231" t="str">
        <f>""</f>
        <v/>
      </c>
      <c r="N2231" t="str">
        <f>""</f>
        <v/>
      </c>
      <c r="O2231" t="s">
        <v>7783</v>
      </c>
      <c r="P2231" t="s">
        <v>7779</v>
      </c>
      <c r="R2231" t="s">
        <v>964</v>
      </c>
      <c r="S2231" t="s">
        <v>36</v>
      </c>
      <c r="T2231" t="str">
        <f>"85012"</f>
        <v>85012</v>
      </c>
      <c r="U2231" t="str">
        <f>""</f>
        <v/>
      </c>
      <c r="V2231" t="s">
        <v>7779</v>
      </c>
      <c r="X2231" t="s">
        <v>964</v>
      </c>
      <c r="Y2231" t="s">
        <v>36</v>
      </c>
      <c r="Z2231" t="str">
        <f>"85012"</f>
        <v>85012</v>
      </c>
      <c r="AA2231" t="str">
        <f>""</f>
        <v/>
      </c>
      <c r="AB2231" t="s">
        <v>2345</v>
      </c>
    </row>
    <row r="2232" spans="1:28" x14ac:dyDescent="0.25">
      <c r="A2232">
        <v>91277</v>
      </c>
      <c r="B2232" t="str">
        <f>"078401000"</f>
        <v>078401000</v>
      </c>
      <c r="C2232" t="s">
        <v>7775</v>
      </c>
      <c r="D2232">
        <v>92975</v>
      </c>
      <c r="E2232" t="str">
        <f>"078401002"</f>
        <v>078401002</v>
      </c>
      <c r="F2232" t="s">
        <v>7784</v>
      </c>
      <c r="G2232" t="s">
        <v>42</v>
      </c>
      <c r="H2232" t="s">
        <v>7781</v>
      </c>
      <c r="I2232" t="s">
        <v>7782</v>
      </c>
      <c r="J2232" t="s">
        <v>301</v>
      </c>
      <c r="K2232" t="str">
        <f>"6027535895"</f>
        <v>6027535895</v>
      </c>
      <c r="L2232" t="str">
        <f>""</f>
        <v/>
      </c>
      <c r="M2232" t="str">
        <f>""</f>
        <v/>
      </c>
      <c r="N2232" t="str">
        <f>""</f>
        <v/>
      </c>
      <c r="O2232" t="s">
        <v>7783</v>
      </c>
      <c r="P2232" t="s">
        <v>7785</v>
      </c>
      <c r="R2232" t="s">
        <v>964</v>
      </c>
      <c r="S2232" t="s">
        <v>36</v>
      </c>
      <c r="T2232" t="str">
        <f>"85015"</f>
        <v>85015</v>
      </c>
      <c r="U2232" t="str">
        <f>""</f>
        <v/>
      </c>
      <c r="V2232" t="s">
        <v>7785</v>
      </c>
      <c r="X2232" t="s">
        <v>964</v>
      </c>
      <c r="Y2232" t="s">
        <v>36</v>
      </c>
      <c r="Z2232" t="str">
        <f>"85015"</f>
        <v>85015</v>
      </c>
      <c r="AA2232" t="str">
        <f>""</f>
        <v/>
      </c>
      <c r="AB2232" t="s">
        <v>2345</v>
      </c>
    </row>
    <row r="2233" spans="1:28" x14ac:dyDescent="0.25">
      <c r="A2233">
        <v>91326</v>
      </c>
      <c r="B2233" t="str">
        <f>"078210000"</f>
        <v>078210000</v>
      </c>
      <c r="C2233" t="s">
        <v>7786</v>
      </c>
      <c r="D2233">
        <v>0</v>
      </c>
      <c r="E2233" t="str">
        <f>""</f>
        <v/>
      </c>
      <c r="G2233" t="s">
        <v>29</v>
      </c>
      <c r="H2233" t="s">
        <v>834</v>
      </c>
      <c r="I2233" t="s">
        <v>7787</v>
      </c>
      <c r="J2233" t="s">
        <v>7788</v>
      </c>
      <c r="K2233" t="str">
        <f>"6233986968"</f>
        <v>6233986968</v>
      </c>
      <c r="L2233" t="str">
        <f>""</f>
        <v/>
      </c>
      <c r="M2233" t="str">
        <f>""</f>
        <v/>
      </c>
      <c r="N2233" t="str">
        <f>""</f>
        <v/>
      </c>
      <c r="O2233" t="s">
        <v>7789</v>
      </c>
      <c r="P2233" t="s">
        <v>7790</v>
      </c>
      <c r="R2233" t="s">
        <v>2670</v>
      </c>
      <c r="S2233" t="s">
        <v>36</v>
      </c>
      <c r="T2233" t="str">
        <f>"85338"</f>
        <v>85338</v>
      </c>
      <c r="U2233" t="str">
        <f>""</f>
        <v/>
      </c>
      <c r="V2233" t="s">
        <v>7791</v>
      </c>
      <c r="X2233" t="s">
        <v>2670</v>
      </c>
      <c r="Y2233" t="s">
        <v>36</v>
      </c>
      <c r="Z2233" t="str">
        <f>"85338"</f>
        <v>85338</v>
      </c>
      <c r="AA2233" t="str">
        <f>""</f>
        <v/>
      </c>
      <c r="AB2233" t="s">
        <v>249</v>
      </c>
    </row>
    <row r="2234" spans="1:28" x14ac:dyDescent="0.25">
      <c r="A2234">
        <v>91326</v>
      </c>
      <c r="B2234" t="str">
        <f>"078210000"</f>
        <v>078210000</v>
      </c>
      <c r="C2234" t="s">
        <v>7786</v>
      </c>
      <c r="D2234">
        <v>92230</v>
      </c>
      <c r="E2234" t="str">
        <f>"078210001"</f>
        <v>078210001</v>
      </c>
      <c r="F2234" t="s">
        <v>7786</v>
      </c>
      <c r="G2234" t="s">
        <v>42</v>
      </c>
      <c r="H2234" t="s">
        <v>834</v>
      </c>
      <c r="I2234" t="s">
        <v>7787</v>
      </c>
      <c r="J2234" t="s">
        <v>7792</v>
      </c>
      <c r="K2234" t="str">
        <f>"6233986968"</f>
        <v>6233986968</v>
      </c>
      <c r="L2234" t="str">
        <f>""</f>
        <v/>
      </c>
      <c r="M2234" t="str">
        <f>""</f>
        <v/>
      </c>
      <c r="N2234" t="str">
        <f>""</f>
        <v/>
      </c>
      <c r="O2234" t="s">
        <v>7789</v>
      </c>
      <c r="P2234" t="s">
        <v>7790</v>
      </c>
      <c r="R2234" t="s">
        <v>2670</v>
      </c>
      <c r="S2234" t="s">
        <v>36</v>
      </c>
      <c r="T2234" t="str">
        <f>"85338"</f>
        <v>85338</v>
      </c>
      <c r="U2234" t="str">
        <f>""</f>
        <v/>
      </c>
      <c r="V2234" t="s">
        <v>7793</v>
      </c>
      <c r="X2234" t="s">
        <v>2670</v>
      </c>
      <c r="Y2234" t="s">
        <v>36</v>
      </c>
      <c r="Z2234" t="str">
        <f>"85338"</f>
        <v>85338</v>
      </c>
      <c r="AA2234" t="str">
        <f>""</f>
        <v/>
      </c>
      <c r="AB2234" t="s">
        <v>249</v>
      </c>
    </row>
    <row r="2235" spans="1:28" x14ac:dyDescent="0.25">
      <c r="A2235">
        <v>91328</v>
      </c>
      <c r="B2235" t="str">
        <f>"078230000"</f>
        <v>078230000</v>
      </c>
      <c r="C2235" t="s">
        <v>7794</v>
      </c>
      <c r="D2235">
        <v>0</v>
      </c>
      <c r="E2235" t="str">
        <f>""</f>
        <v/>
      </c>
      <c r="G2235" t="s">
        <v>29</v>
      </c>
      <c r="H2235" t="s">
        <v>3744</v>
      </c>
      <c r="I2235" t="s">
        <v>590</v>
      </c>
      <c r="J2235" t="s">
        <v>3745</v>
      </c>
      <c r="K2235" t="str">
        <f>"6029532933"</f>
        <v>6029532933</v>
      </c>
      <c r="L2235" t="str">
        <f>""</f>
        <v/>
      </c>
      <c r="M2235" t="str">
        <f>""</f>
        <v/>
      </c>
      <c r="N2235" t="str">
        <f>""</f>
        <v/>
      </c>
      <c r="O2235" t="s">
        <v>3746</v>
      </c>
      <c r="P2235" t="s">
        <v>3747</v>
      </c>
      <c r="R2235" t="s">
        <v>964</v>
      </c>
      <c r="S2235" t="s">
        <v>36</v>
      </c>
      <c r="T2235" t="str">
        <f>"85020"</f>
        <v>85020</v>
      </c>
      <c r="U2235" t="str">
        <f>""</f>
        <v/>
      </c>
      <c r="V2235" t="s">
        <v>3747</v>
      </c>
      <c r="X2235" t="s">
        <v>964</v>
      </c>
      <c r="Y2235" t="s">
        <v>36</v>
      </c>
      <c r="Z2235" t="str">
        <f>"85020"</f>
        <v>85020</v>
      </c>
      <c r="AA2235" t="str">
        <f>""</f>
        <v/>
      </c>
      <c r="AB2235" t="s">
        <v>1466</v>
      </c>
    </row>
    <row r="2236" spans="1:28" x14ac:dyDescent="0.25">
      <c r="A2236">
        <v>91328</v>
      </c>
      <c r="B2236" t="str">
        <f>"078230000"</f>
        <v>078230000</v>
      </c>
      <c r="C2236" t="s">
        <v>7794</v>
      </c>
      <c r="D2236">
        <v>92224</v>
      </c>
      <c r="E2236" t="str">
        <f>"078230001"</f>
        <v>078230001</v>
      </c>
      <c r="F2236" t="s">
        <v>7795</v>
      </c>
      <c r="G2236" t="s">
        <v>42</v>
      </c>
      <c r="H2236" t="s">
        <v>1681</v>
      </c>
      <c r="I2236" t="s">
        <v>7796</v>
      </c>
      <c r="J2236" t="s">
        <v>301</v>
      </c>
      <c r="K2236" t="str">
        <f>"6239744827"</f>
        <v>6239744827</v>
      </c>
      <c r="L2236" t="str">
        <f>""</f>
        <v/>
      </c>
      <c r="M2236" t="str">
        <f>"6239744828"</f>
        <v>6239744828</v>
      </c>
      <c r="N2236" t="str">
        <f>""</f>
        <v/>
      </c>
      <c r="O2236" t="s">
        <v>7797</v>
      </c>
      <c r="P2236" t="s">
        <v>7798</v>
      </c>
      <c r="R2236" t="s">
        <v>7288</v>
      </c>
      <c r="S2236" t="s">
        <v>36</v>
      </c>
      <c r="T2236" t="str">
        <f>"85363"</f>
        <v>85363</v>
      </c>
      <c r="U2236" t="str">
        <f>""</f>
        <v/>
      </c>
      <c r="V2236" t="s">
        <v>7798</v>
      </c>
      <c r="X2236" t="s">
        <v>7288</v>
      </c>
      <c r="Y2236" t="s">
        <v>36</v>
      </c>
      <c r="Z2236" t="str">
        <f>"85363"</f>
        <v>85363</v>
      </c>
      <c r="AA2236" t="str">
        <f>""</f>
        <v/>
      </c>
      <c r="AB2236" t="s">
        <v>1466</v>
      </c>
    </row>
    <row r="2237" spans="1:28" x14ac:dyDescent="0.25">
      <c r="A2237">
        <v>91329</v>
      </c>
      <c r="B2237" t="str">
        <f>"078240000"</f>
        <v>078240000</v>
      </c>
      <c r="C2237" t="s">
        <v>7799</v>
      </c>
      <c r="D2237">
        <v>0</v>
      </c>
      <c r="E2237" t="str">
        <f>""</f>
        <v/>
      </c>
      <c r="G2237" t="s">
        <v>29</v>
      </c>
      <c r="H2237" t="s">
        <v>3744</v>
      </c>
      <c r="I2237" t="s">
        <v>590</v>
      </c>
      <c r="J2237" t="s">
        <v>6166</v>
      </c>
      <c r="K2237" t="str">
        <f>"6029532933"</f>
        <v>6029532933</v>
      </c>
      <c r="L2237" t="str">
        <f>""</f>
        <v/>
      </c>
      <c r="M2237" t="str">
        <f>"6029530831"</f>
        <v>6029530831</v>
      </c>
      <c r="N2237" t="str">
        <f>""</f>
        <v/>
      </c>
      <c r="O2237" t="s">
        <v>3746</v>
      </c>
      <c r="P2237" t="s">
        <v>3747</v>
      </c>
      <c r="R2237" t="s">
        <v>964</v>
      </c>
      <c r="S2237" t="s">
        <v>36</v>
      </c>
      <c r="T2237" t="str">
        <f>"85020"</f>
        <v>85020</v>
      </c>
      <c r="U2237" t="str">
        <f>""</f>
        <v/>
      </c>
      <c r="V2237" t="s">
        <v>3747</v>
      </c>
      <c r="X2237" t="s">
        <v>964</v>
      </c>
      <c r="Y2237" t="s">
        <v>36</v>
      </c>
      <c r="Z2237" t="str">
        <f>"85020"</f>
        <v>85020</v>
      </c>
      <c r="AA2237" t="str">
        <f>""</f>
        <v/>
      </c>
      <c r="AB2237" t="s">
        <v>1466</v>
      </c>
    </row>
    <row r="2238" spans="1:28" x14ac:dyDescent="0.25">
      <c r="A2238">
        <v>91329</v>
      </c>
      <c r="B2238" t="str">
        <f>"078240000"</f>
        <v>078240000</v>
      </c>
      <c r="C2238" t="s">
        <v>7799</v>
      </c>
      <c r="D2238">
        <v>92225</v>
      </c>
      <c r="E2238" t="str">
        <f>"078240001"</f>
        <v>078240001</v>
      </c>
      <c r="F2238" t="s">
        <v>7800</v>
      </c>
      <c r="G2238" t="s">
        <v>42</v>
      </c>
      <c r="H2238" t="s">
        <v>1394</v>
      </c>
      <c r="I2238" t="s">
        <v>7801</v>
      </c>
      <c r="J2238" t="s">
        <v>301</v>
      </c>
      <c r="K2238" t="str">
        <f>"6022438531"</f>
        <v>6022438531</v>
      </c>
      <c r="L2238" t="str">
        <f>""</f>
        <v/>
      </c>
      <c r="M2238" t="str">
        <f>""</f>
        <v/>
      </c>
      <c r="N2238" t="str">
        <f>""</f>
        <v/>
      </c>
      <c r="O2238" t="s">
        <v>7802</v>
      </c>
      <c r="P2238" t="s">
        <v>7803</v>
      </c>
      <c r="R2238" t="s">
        <v>964</v>
      </c>
      <c r="S2238" t="s">
        <v>36</v>
      </c>
      <c r="T2238" t="str">
        <f>"85020"</f>
        <v>85020</v>
      </c>
      <c r="U2238" t="str">
        <f>""</f>
        <v/>
      </c>
      <c r="V2238" t="s">
        <v>7804</v>
      </c>
      <c r="X2238" t="s">
        <v>964</v>
      </c>
      <c r="Y2238" t="s">
        <v>36</v>
      </c>
      <c r="Z2238" t="str">
        <f>"85040"</f>
        <v>85040</v>
      </c>
      <c r="AA2238" t="str">
        <f>""</f>
        <v/>
      </c>
      <c r="AB2238" t="s">
        <v>1466</v>
      </c>
    </row>
    <row r="2239" spans="1:28" x14ac:dyDescent="0.25">
      <c r="A2239">
        <v>91760</v>
      </c>
      <c r="B2239" t="str">
        <f>"114002000"</f>
        <v>114002000</v>
      </c>
      <c r="C2239" t="s">
        <v>7805</v>
      </c>
      <c r="D2239">
        <v>0</v>
      </c>
      <c r="E2239" t="str">
        <f>""</f>
        <v/>
      </c>
      <c r="G2239" t="s">
        <v>29</v>
      </c>
      <c r="H2239" t="s">
        <v>7806</v>
      </c>
      <c r="I2239" t="s">
        <v>7807</v>
      </c>
      <c r="J2239" t="s">
        <v>195</v>
      </c>
      <c r="K2239" t="str">
        <f>"5202155859"</f>
        <v>5202155859</v>
      </c>
      <c r="L2239" t="str">
        <f>"7909"</f>
        <v>7909</v>
      </c>
      <c r="M2239" t="str">
        <f>"5202155862"</f>
        <v>5202155862</v>
      </c>
      <c r="N2239" t="str">
        <f>""</f>
        <v/>
      </c>
      <c r="O2239" t="s">
        <v>7808</v>
      </c>
      <c r="P2239" t="s">
        <v>7809</v>
      </c>
      <c r="R2239" t="s">
        <v>7810</v>
      </c>
      <c r="S2239" t="s">
        <v>36</v>
      </c>
      <c r="T2239" t="str">
        <f>"85128"</f>
        <v>85128</v>
      </c>
      <c r="U2239" t="str">
        <f>""</f>
        <v/>
      </c>
      <c r="V2239" t="s">
        <v>7809</v>
      </c>
      <c r="X2239" t="s">
        <v>7810</v>
      </c>
      <c r="Y2239" t="s">
        <v>36</v>
      </c>
      <c r="Z2239" t="str">
        <f>"85128"</f>
        <v>85128</v>
      </c>
      <c r="AA2239" t="str">
        <f>""</f>
        <v/>
      </c>
      <c r="AB2239" t="s">
        <v>217</v>
      </c>
    </row>
    <row r="2240" spans="1:28" x14ac:dyDescent="0.25">
      <c r="A2240">
        <v>91760</v>
      </c>
      <c r="B2240" t="str">
        <f>"114002000"</f>
        <v>114002000</v>
      </c>
      <c r="C2240" t="s">
        <v>7805</v>
      </c>
      <c r="D2240">
        <v>91761</v>
      </c>
      <c r="E2240" t="str">
        <f>"114002001"</f>
        <v>114002001</v>
      </c>
      <c r="F2240" t="s">
        <v>7811</v>
      </c>
      <c r="G2240" t="s">
        <v>42</v>
      </c>
      <c r="H2240" t="s">
        <v>7806</v>
      </c>
      <c r="I2240" t="s">
        <v>7807</v>
      </c>
      <c r="J2240" t="s">
        <v>5227</v>
      </c>
      <c r="K2240" t="str">
        <f>"5202155859"</f>
        <v>5202155859</v>
      </c>
      <c r="L2240" t="str">
        <f>"7909"</f>
        <v>7909</v>
      </c>
      <c r="M2240" t="str">
        <f>"5202155862"</f>
        <v>5202155862</v>
      </c>
      <c r="N2240" t="str">
        <f>""</f>
        <v/>
      </c>
      <c r="O2240" t="s">
        <v>7808</v>
      </c>
      <c r="P2240" t="s">
        <v>7809</v>
      </c>
      <c r="R2240" t="s">
        <v>7810</v>
      </c>
      <c r="S2240" t="s">
        <v>36</v>
      </c>
      <c r="T2240" t="str">
        <f>"85228"</f>
        <v>85228</v>
      </c>
      <c r="U2240" t="str">
        <f>""</f>
        <v/>
      </c>
      <c r="V2240" t="s">
        <v>7809</v>
      </c>
      <c r="X2240" t="s">
        <v>7810</v>
      </c>
      <c r="Y2240" t="s">
        <v>36</v>
      </c>
      <c r="Z2240" t="str">
        <f>"85228"</f>
        <v>85228</v>
      </c>
      <c r="AA2240" t="str">
        <f>""</f>
        <v/>
      </c>
      <c r="AB2240" t="s">
        <v>217</v>
      </c>
    </row>
    <row r="2241" spans="1:28" x14ac:dyDescent="0.25">
      <c r="A2241">
        <v>91773</v>
      </c>
      <c r="B2241" t="str">
        <f>"108909000"</f>
        <v>108909000</v>
      </c>
      <c r="C2241" t="s">
        <v>7812</v>
      </c>
      <c r="D2241">
        <v>0</v>
      </c>
      <c r="E2241" t="str">
        <f>""</f>
        <v/>
      </c>
      <c r="G2241" t="s">
        <v>29</v>
      </c>
      <c r="H2241" t="s">
        <v>7813</v>
      </c>
      <c r="I2241" t="s">
        <v>7814</v>
      </c>
      <c r="J2241" t="s">
        <v>7815</v>
      </c>
      <c r="K2241" t="str">
        <f>"5207221200"</f>
        <v>5207221200</v>
      </c>
      <c r="L2241" t="str">
        <f>""</f>
        <v/>
      </c>
      <c r="M2241" t="str">
        <f>""</f>
        <v/>
      </c>
      <c r="N2241" t="str">
        <f>""</f>
        <v/>
      </c>
      <c r="O2241" t="s">
        <v>7816</v>
      </c>
      <c r="P2241" t="s">
        <v>7817</v>
      </c>
      <c r="R2241" t="s">
        <v>4169</v>
      </c>
      <c r="S2241" t="s">
        <v>36</v>
      </c>
      <c r="T2241" t="str">
        <f>"85716"</f>
        <v>85716</v>
      </c>
      <c r="U2241" t="str">
        <f>""</f>
        <v/>
      </c>
      <c r="V2241" t="s">
        <v>7817</v>
      </c>
      <c r="X2241" t="s">
        <v>4169</v>
      </c>
      <c r="Y2241" t="s">
        <v>36</v>
      </c>
      <c r="Z2241" t="str">
        <f>"85716"</f>
        <v>85716</v>
      </c>
      <c r="AA2241" t="str">
        <f>""</f>
        <v/>
      </c>
      <c r="AB2241" t="s">
        <v>249</v>
      </c>
    </row>
    <row r="2242" spans="1:28" x14ac:dyDescent="0.25">
      <c r="A2242">
        <v>91773</v>
      </c>
      <c r="B2242" t="str">
        <f>"108909000"</f>
        <v>108909000</v>
      </c>
      <c r="C2242" t="s">
        <v>7812</v>
      </c>
      <c r="D2242">
        <v>10733</v>
      </c>
      <c r="E2242" t="str">
        <f>"108909001"</f>
        <v>108909001</v>
      </c>
      <c r="F2242" t="s">
        <v>7818</v>
      </c>
      <c r="G2242" t="s">
        <v>42</v>
      </c>
      <c r="H2242" t="s">
        <v>3297</v>
      </c>
      <c r="I2242" t="s">
        <v>7819</v>
      </c>
      <c r="J2242" t="s">
        <v>710</v>
      </c>
      <c r="K2242" t="str">
        <f>"5207221200"</f>
        <v>5207221200</v>
      </c>
      <c r="L2242" t="str">
        <f>""</f>
        <v/>
      </c>
      <c r="M2242" t="str">
        <f>"5207220052"</f>
        <v>5207220052</v>
      </c>
      <c r="N2242" t="str">
        <f>""</f>
        <v/>
      </c>
      <c r="O2242" t="s">
        <v>7820</v>
      </c>
      <c r="P2242" t="s">
        <v>7817</v>
      </c>
      <c r="R2242" t="s">
        <v>4169</v>
      </c>
      <c r="S2242" t="s">
        <v>36</v>
      </c>
      <c r="T2242" t="str">
        <f>"85716"</f>
        <v>85716</v>
      </c>
      <c r="U2242" t="str">
        <f>""</f>
        <v/>
      </c>
      <c r="V2242" t="s">
        <v>7817</v>
      </c>
      <c r="X2242" t="s">
        <v>4169</v>
      </c>
      <c r="Y2242" t="s">
        <v>36</v>
      </c>
      <c r="Z2242" t="str">
        <f>"85716"</f>
        <v>85716</v>
      </c>
      <c r="AA2242" t="str">
        <f>""</f>
        <v/>
      </c>
      <c r="AB2242" t="s">
        <v>249</v>
      </c>
    </row>
    <row r="2243" spans="1:28" x14ac:dyDescent="0.25">
      <c r="A2243">
        <v>91814</v>
      </c>
      <c r="B2243" t="str">
        <f>"072094000"</f>
        <v>072094000</v>
      </c>
      <c r="C2243" t="s">
        <v>7821</v>
      </c>
      <c r="D2243">
        <v>0</v>
      </c>
      <c r="E2243" t="str">
        <f>""</f>
        <v/>
      </c>
      <c r="G2243" t="s">
        <v>29</v>
      </c>
      <c r="H2243" t="s">
        <v>7822</v>
      </c>
      <c r="I2243" t="s">
        <v>7823</v>
      </c>
      <c r="J2243" t="s">
        <v>6047</v>
      </c>
      <c r="K2243" t="str">
        <f>"6233934260"</f>
        <v>6233934260</v>
      </c>
      <c r="L2243" t="str">
        <f>"215"</f>
        <v>215</v>
      </c>
      <c r="M2243" t="str">
        <f>"6235335330"</f>
        <v>6235335330</v>
      </c>
      <c r="N2243" t="str">
        <f>""</f>
        <v/>
      </c>
      <c r="O2243" t="s">
        <v>7824</v>
      </c>
      <c r="P2243" t="s">
        <v>7825</v>
      </c>
      <c r="R2243" t="s">
        <v>1173</v>
      </c>
      <c r="S2243" t="s">
        <v>36</v>
      </c>
      <c r="T2243" t="str">
        <f>"85301"</f>
        <v>85301</v>
      </c>
      <c r="U2243" t="str">
        <f>""</f>
        <v/>
      </c>
      <c r="V2243" t="s">
        <v>7825</v>
      </c>
      <c r="X2243" t="s">
        <v>1173</v>
      </c>
      <c r="Y2243" t="s">
        <v>36</v>
      </c>
      <c r="Z2243" t="str">
        <f>"85301"</f>
        <v>85301</v>
      </c>
      <c r="AA2243" t="str">
        <f>""</f>
        <v/>
      </c>
      <c r="AB2243" t="s">
        <v>2235</v>
      </c>
    </row>
    <row r="2244" spans="1:28" x14ac:dyDescent="0.25">
      <c r="A2244">
        <v>91814</v>
      </c>
      <c r="B2244" t="str">
        <f>"072094000"</f>
        <v>072094000</v>
      </c>
      <c r="C2244" t="s">
        <v>7821</v>
      </c>
      <c r="D2244">
        <v>91849</v>
      </c>
      <c r="E2244" t="str">
        <f>"072094001"</f>
        <v>072094001</v>
      </c>
      <c r="F2244" t="s">
        <v>7821</v>
      </c>
      <c r="G2244" t="s">
        <v>42</v>
      </c>
      <c r="H2244" t="s">
        <v>7822</v>
      </c>
      <c r="I2244" t="s">
        <v>7826</v>
      </c>
      <c r="J2244" t="s">
        <v>307</v>
      </c>
      <c r="K2244" t="str">
        <f>"6239394260"</f>
        <v>6239394260</v>
      </c>
      <c r="L2244" t="str">
        <f>"215"</f>
        <v>215</v>
      </c>
      <c r="M2244" t="str">
        <f>"6235335230"</f>
        <v>6235335230</v>
      </c>
      <c r="N2244" t="str">
        <f>""</f>
        <v/>
      </c>
      <c r="O2244" t="s">
        <v>7824</v>
      </c>
      <c r="P2244" t="s">
        <v>7825</v>
      </c>
      <c r="R2244" t="s">
        <v>1173</v>
      </c>
      <c r="S2244" t="s">
        <v>36</v>
      </c>
      <c r="T2244" t="str">
        <f>"85301"</f>
        <v>85301</v>
      </c>
      <c r="U2244" t="str">
        <f>""</f>
        <v/>
      </c>
      <c r="V2244" t="s">
        <v>7825</v>
      </c>
      <c r="X2244" t="s">
        <v>1173</v>
      </c>
      <c r="Y2244" t="s">
        <v>36</v>
      </c>
      <c r="Z2244" t="str">
        <f>"85301"</f>
        <v>85301</v>
      </c>
      <c r="AA2244" t="str">
        <f>""</f>
        <v/>
      </c>
      <c r="AB2244" t="s">
        <v>2235</v>
      </c>
    </row>
    <row r="2245" spans="1:28" x14ac:dyDescent="0.25">
      <c r="A2245">
        <v>91865</v>
      </c>
      <c r="B2245" t="str">
        <f>"072795000"</f>
        <v>072795000</v>
      </c>
      <c r="C2245" t="s">
        <v>7827</v>
      </c>
      <c r="D2245">
        <v>0</v>
      </c>
      <c r="E2245" t="str">
        <f>""</f>
        <v/>
      </c>
      <c r="G2245" t="s">
        <v>29</v>
      </c>
      <c r="H2245" t="s">
        <v>3653</v>
      </c>
      <c r="I2245" t="s">
        <v>3654</v>
      </c>
      <c r="J2245" t="s">
        <v>195</v>
      </c>
      <c r="K2245" t="str">
        <f>"6022884516"</f>
        <v>6022884516</v>
      </c>
      <c r="L2245" t="str">
        <f>""</f>
        <v/>
      </c>
      <c r="M2245" t="str">
        <f>"6022747549"</f>
        <v>6022747549</v>
      </c>
      <c r="N2245" t="str">
        <f>""</f>
        <v/>
      </c>
      <c r="O2245" t="s">
        <v>3659</v>
      </c>
      <c r="P2245" t="s">
        <v>7828</v>
      </c>
      <c r="R2245" t="s">
        <v>964</v>
      </c>
      <c r="S2245" t="s">
        <v>36</v>
      </c>
      <c r="T2245" t="str">
        <f>"85013"</f>
        <v>85013</v>
      </c>
      <c r="U2245" t="str">
        <f>"2449"</f>
        <v>2449</v>
      </c>
      <c r="V2245" t="s">
        <v>7828</v>
      </c>
      <c r="X2245" t="s">
        <v>964</v>
      </c>
      <c r="Y2245" t="s">
        <v>36</v>
      </c>
      <c r="Z2245" t="str">
        <f>"85013"</f>
        <v>85013</v>
      </c>
      <c r="AA2245" t="str">
        <f>"2449"</f>
        <v>2449</v>
      </c>
      <c r="AB2245" t="s">
        <v>249</v>
      </c>
    </row>
    <row r="2246" spans="1:28" x14ac:dyDescent="0.25">
      <c r="A2246">
        <v>91865</v>
      </c>
      <c r="B2246" t="str">
        <f>"072795000"</f>
        <v>072795000</v>
      </c>
      <c r="C2246" t="s">
        <v>7827</v>
      </c>
      <c r="D2246">
        <v>91866</v>
      </c>
      <c r="E2246" t="str">
        <f>"072795001"</f>
        <v>072795001</v>
      </c>
      <c r="F2246" t="s">
        <v>7829</v>
      </c>
      <c r="G2246" t="s">
        <v>42</v>
      </c>
      <c r="H2246" t="s">
        <v>3653</v>
      </c>
      <c r="I2246" t="s">
        <v>3654</v>
      </c>
      <c r="J2246" t="s">
        <v>6900</v>
      </c>
      <c r="K2246" t="str">
        <f>"6022884573"</f>
        <v>6022884573</v>
      </c>
      <c r="L2246" t="str">
        <f>""</f>
        <v/>
      </c>
      <c r="M2246" t="str">
        <f>"6022884605"</f>
        <v>6022884605</v>
      </c>
      <c r="N2246" t="str">
        <f>""</f>
        <v/>
      </c>
      <c r="O2246" t="s">
        <v>7830</v>
      </c>
      <c r="P2246" t="s">
        <v>7828</v>
      </c>
      <c r="R2246" t="s">
        <v>964</v>
      </c>
      <c r="S2246" t="s">
        <v>36</v>
      </c>
      <c r="T2246" t="str">
        <f>"85013"</f>
        <v>85013</v>
      </c>
      <c r="U2246" t="str">
        <f>"2449"</f>
        <v>2449</v>
      </c>
      <c r="V2246" t="s">
        <v>7828</v>
      </c>
      <c r="X2246" t="s">
        <v>964</v>
      </c>
      <c r="Y2246" t="s">
        <v>36</v>
      </c>
      <c r="Z2246" t="str">
        <f>"85013"</f>
        <v>85013</v>
      </c>
      <c r="AA2246" t="str">
        <f>"2449"</f>
        <v>2449</v>
      </c>
      <c r="AB2246" t="s">
        <v>249</v>
      </c>
    </row>
    <row r="2247" spans="1:28" x14ac:dyDescent="0.25">
      <c r="A2247">
        <v>91899</v>
      </c>
      <c r="B2247" t="str">
        <f>"102142000"</f>
        <v>102142000</v>
      </c>
      <c r="C2247" t="s">
        <v>7831</v>
      </c>
      <c r="D2247">
        <v>0</v>
      </c>
      <c r="E2247" t="str">
        <f>""</f>
        <v/>
      </c>
      <c r="G2247" t="s">
        <v>29</v>
      </c>
      <c r="H2247" t="s">
        <v>4985</v>
      </c>
      <c r="I2247" t="s">
        <v>7832</v>
      </c>
      <c r="J2247" t="s">
        <v>3734</v>
      </c>
      <c r="K2247" t="str">
        <f>"5207211887"</f>
        <v>5207211887</v>
      </c>
      <c r="L2247" t="str">
        <f>"1229"</f>
        <v>1229</v>
      </c>
      <c r="M2247" t="str">
        <f>"5202075963"</f>
        <v>5202075963</v>
      </c>
      <c r="N2247" t="str">
        <f>""</f>
        <v/>
      </c>
      <c r="O2247" t="s">
        <v>7833</v>
      </c>
      <c r="P2247" t="s">
        <v>7834</v>
      </c>
      <c r="R2247" t="s">
        <v>4169</v>
      </c>
      <c r="S2247" t="s">
        <v>36</v>
      </c>
      <c r="T2247" t="str">
        <f>"85731"</f>
        <v>85731</v>
      </c>
      <c r="U2247" t="str">
        <f>"7749"</f>
        <v>7749</v>
      </c>
      <c r="V2247" t="s">
        <v>7835</v>
      </c>
      <c r="X2247" t="s">
        <v>4169</v>
      </c>
      <c r="Y2247" t="s">
        <v>36</v>
      </c>
      <c r="Z2247" t="str">
        <f>"85745"</f>
        <v>85745</v>
      </c>
      <c r="AA2247" t="str">
        <f>""</f>
        <v/>
      </c>
      <c r="AB2247" t="s">
        <v>265</v>
      </c>
    </row>
    <row r="2248" spans="1:28" x14ac:dyDescent="0.25">
      <c r="A2248">
        <v>91899</v>
      </c>
      <c r="B2248" t="str">
        <f>"102142000"</f>
        <v>102142000</v>
      </c>
      <c r="C2248" t="s">
        <v>7831</v>
      </c>
      <c r="D2248">
        <v>91900</v>
      </c>
      <c r="E2248" t="str">
        <f>"102142001"</f>
        <v>102142001</v>
      </c>
      <c r="F2248" t="s">
        <v>7836</v>
      </c>
      <c r="G2248" t="s">
        <v>42</v>
      </c>
      <c r="H2248" t="s">
        <v>4985</v>
      </c>
      <c r="I2248" t="s">
        <v>7832</v>
      </c>
      <c r="J2248" t="s">
        <v>3734</v>
      </c>
      <c r="K2248" t="str">
        <f>"5207211887"</f>
        <v>5207211887</v>
      </c>
      <c r="L2248" t="str">
        <f>"1229"</f>
        <v>1229</v>
      </c>
      <c r="M2248" t="str">
        <f>""</f>
        <v/>
      </c>
      <c r="N2248" t="str">
        <f>""</f>
        <v/>
      </c>
      <c r="O2248" t="s">
        <v>7833</v>
      </c>
      <c r="P2248" t="s">
        <v>7834</v>
      </c>
      <c r="R2248" t="s">
        <v>4169</v>
      </c>
      <c r="S2248" t="s">
        <v>36</v>
      </c>
      <c r="T2248" t="str">
        <f>"85731"</f>
        <v>85731</v>
      </c>
      <c r="U2248" t="str">
        <f>"7749"</f>
        <v>7749</v>
      </c>
      <c r="V2248" t="s">
        <v>7835</v>
      </c>
      <c r="X2248" t="s">
        <v>4169</v>
      </c>
      <c r="Y2248" t="s">
        <v>36</v>
      </c>
      <c r="Z2248" t="str">
        <f>"85745"</f>
        <v>85745</v>
      </c>
      <c r="AA2248" t="str">
        <f>""</f>
        <v/>
      </c>
      <c r="AB2248" t="s">
        <v>265</v>
      </c>
    </row>
    <row r="2249" spans="1:28" x14ac:dyDescent="0.25">
      <c r="A2249">
        <v>91917</v>
      </c>
      <c r="B2249" t="str">
        <f>"072078000"</f>
        <v>072078000</v>
      </c>
      <c r="C2249" t="s">
        <v>7837</v>
      </c>
      <c r="D2249">
        <v>0</v>
      </c>
      <c r="E2249" t="str">
        <f>""</f>
        <v/>
      </c>
      <c r="G2249" t="s">
        <v>29</v>
      </c>
      <c r="H2249" t="s">
        <v>1818</v>
      </c>
      <c r="I2249" t="s">
        <v>7838</v>
      </c>
      <c r="J2249" t="s">
        <v>7839</v>
      </c>
      <c r="K2249" t="str">
        <f>"6028093011"</f>
        <v>6028093011</v>
      </c>
      <c r="L2249" t="str">
        <f>""</f>
        <v/>
      </c>
      <c r="M2249" t="str">
        <f>"6023743110"</f>
        <v>6023743110</v>
      </c>
      <c r="N2249" t="str">
        <f>""</f>
        <v/>
      </c>
      <c r="O2249" t="s">
        <v>7840</v>
      </c>
      <c r="P2249" t="s">
        <v>7841</v>
      </c>
      <c r="R2249" t="s">
        <v>964</v>
      </c>
      <c r="S2249" t="s">
        <v>36</v>
      </c>
      <c r="T2249" t="str">
        <f>"85021"</f>
        <v>85021</v>
      </c>
      <c r="U2249" t="str">
        <f>""</f>
        <v/>
      </c>
      <c r="V2249" t="s">
        <v>7841</v>
      </c>
      <c r="X2249" t="s">
        <v>964</v>
      </c>
      <c r="Y2249" t="s">
        <v>36</v>
      </c>
      <c r="Z2249" t="str">
        <f>"85021"</f>
        <v>85021</v>
      </c>
      <c r="AA2249" t="str">
        <f>""</f>
        <v/>
      </c>
      <c r="AB2249" t="s">
        <v>156</v>
      </c>
    </row>
    <row r="2250" spans="1:28" x14ac:dyDescent="0.25">
      <c r="A2250">
        <v>91917</v>
      </c>
      <c r="B2250" t="str">
        <f>"072078000"</f>
        <v>072078000</v>
      </c>
      <c r="C2250" t="s">
        <v>7837</v>
      </c>
      <c r="D2250">
        <v>91918</v>
      </c>
      <c r="E2250" t="str">
        <f>"072078001"</f>
        <v>072078001</v>
      </c>
      <c r="F2250" t="s">
        <v>7837</v>
      </c>
      <c r="G2250" t="s">
        <v>42</v>
      </c>
      <c r="H2250" t="s">
        <v>1818</v>
      </c>
      <c r="I2250" t="s">
        <v>7838</v>
      </c>
      <c r="J2250" t="s">
        <v>7839</v>
      </c>
      <c r="K2250" t="str">
        <f>"6028093011"</f>
        <v>6028093011</v>
      </c>
      <c r="L2250" t="str">
        <f>""</f>
        <v/>
      </c>
      <c r="M2250" t="str">
        <f>"6023743110"</f>
        <v>6023743110</v>
      </c>
      <c r="N2250" t="str">
        <f>""</f>
        <v/>
      </c>
      <c r="O2250" t="s">
        <v>7840</v>
      </c>
      <c r="P2250" t="s">
        <v>7841</v>
      </c>
      <c r="R2250" t="s">
        <v>964</v>
      </c>
      <c r="S2250" t="s">
        <v>36</v>
      </c>
      <c r="T2250" t="str">
        <f>"85021"</f>
        <v>85021</v>
      </c>
      <c r="U2250" t="str">
        <f>""</f>
        <v/>
      </c>
      <c r="V2250" t="s">
        <v>7841</v>
      </c>
      <c r="X2250" t="s">
        <v>964</v>
      </c>
      <c r="Y2250" t="s">
        <v>36</v>
      </c>
      <c r="Z2250" t="str">
        <f>"85021"</f>
        <v>85021</v>
      </c>
      <c r="AA2250" t="str">
        <f>""</f>
        <v/>
      </c>
      <c r="AB2250" t="s">
        <v>156</v>
      </c>
    </row>
    <row r="2251" spans="1:28" x14ac:dyDescent="0.25">
      <c r="A2251">
        <v>91933</v>
      </c>
      <c r="B2251" t="str">
        <f>"078217000"</f>
        <v>078217000</v>
      </c>
      <c r="C2251" t="s">
        <v>7842</v>
      </c>
      <c r="D2251">
        <v>0</v>
      </c>
      <c r="E2251" t="str">
        <f>""</f>
        <v/>
      </c>
      <c r="G2251" t="s">
        <v>29</v>
      </c>
      <c r="H2251" t="s">
        <v>2895</v>
      </c>
      <c r="I2251" t="s">
        <v>6338</v>
      </c>
      <c r="J2251" t="s">
        <v>7843</v>
      </c>
      <c r="K2251" t="str">
        <f>"6027101873"</f>
        <v>6027101873</v>
      </c>
      <c r="L2251" t="str">
        <f>""</f>
        <v/>
      </c>
      <c r="M2251" t="str">
        <f>""</f>
        <v/>
      </c>
      <c r="N2251" t="str">
        <f>""</f>
        <v/>
      </c>
      <c r="O2251" t="s">
        <v>7844</v>
      </c>
      <c r="P2251" t="s">
        <v>7845</v>
      </c>
      <c r="R2251" t="s">
        <v>964</v>
      </c>
      <c r="S2251" t="s">
        <v>36</v>
      </c>
      <c r="T2251" t="str">
        <f>"85006"</f>
        <v>85006</v>
      </c>
      <c r="U2251" t="str">
        <f>""</f>
        <v/>
      </c>
      <c r="V2251" t="s">
        <v>7845</v>
      </c>
      <c r="X2251" t="s">
        <v>964</v>
      </c>
      <c r="Y2251" t="s">
        <v>36</v>
      </c>
      <c r="Z2251" t="str">
        <f>"85006"</f>
        <v>85006</v>
      </c>
      <c r="AA2251" t="str">
        <f>""</f>
        <v/>
      </c>
      <c r="AB2251" t="s">
        <v>7846</v>
      </c>
    </row>
    <row r="2252" spans="1:28" x14ac:dyDescent="0.25">
      <c r="A2252">
        <v>91933</v>
      </c>
      <c r="B2252" t="str">
        <f>"078217000"</f>
        <v>078217000</v>
      </c>
      <c r="C2252" t="s">
        <v>7842</v>
      </c>
      <c r="D2252">
        <v>92594</v>
      </c>
      <c r="E2252" t="str">
        <f>"078217001"</f>
        <v>078217001</v>
      </c>
      <c r="F2252" t="s">
        <v>7847</v>
      </c>
      <c r="G2252" t="s">
        <v>42</v>
      </c>
      <c r="H2252" t="s">
        <v>7781</v>
      </c>
      <c r="I2252" t="s">
        <v>7782</v>
      </c>
      <c r="J2252" t="s">
        <v>301</v>
      </c>
      <c r="K2252" t="str">
        <f>"6027101873"</f>
        <v>6027101873</v>
      </c>
      <c r="L2252" t="str">
        <f>""</f>
        <v/>
      </c>
      <c r="M2252" t="str">
        <f>""</f>
        <v/>
      </c>
      <c r="N2252" t="str">
        <f>""</f>
        <v/>
      </c>
      <c r="O2252" t="s">
        <v>7848</v>
      </c>
      <c r="P2252" t="s">
        <v>7849</v>
      </c>
      <c r="R2252" t="s">
        <v>964</v>
      </c>
      <c r="S2252" t="s">
        <v>36</v>
      </c>
      <c r="T2252" t="str">
        <f>"85006"</f>
        <v>85006</v>
      </c>
      <c r="U2252" t="str">
        <f>""</f>
        <v/>
      </c>
      <c r="V2252" t="s">
        <v>7849</v>
      </c>
      <c r="X2252" t="s">
        <v>964</v>
      </c>
      <c r="Y2252" t="s">
        <v>36</v>
      </c>
      <c r="Z2252" t="str">
        <f>"85006"</f>
        <v>85006</v>
      </c>
      <c r="AA2252" t="str">
        <f>""</f>
        <v/>
      </c>
      <c r="AB2252" t="s">
        <v>7846</v>
      </c>
    </row>
    <row r="2253" spans="1:28" x14ac:dyDescent="0.25">
      <c r="A2253">
        <v>91934</v>
      </c>
      <c r="B2253" t="str">
        <f>"078218000"</f>
        <v>078218000</v>
      </c>
      <c r="C2253" t="s">
        <v>7850</v>
      </c>
      <c r="D2253">
        <v>0</v>
      </c>
      <c r="E2253" t="str">
        <f>""</f>
        <v/>
      </c>
      <c r="G2253" t="s">
        <v>29</v>
      </c>
      <c r="H2253" t="s">
        <v>7851</v>
      </c>
      <c r="I2253" t="s">
        <v>7852</v>
      </c>
      <c r="J2253" t="s">
        <v>202</v>
      </c>
      <c r="K2253" t="str">
        <f>"6233967601"</f>
        <v>6233967601</v>
      </c>
      <c r="L2253" t="str">
        <f>""</f>
        <v/>
      </c>
      <c r="M2253" t="str">
        <f>"6028925023"</f>
        <v>6028925023</v>
      </c>
      <c r="N2253" t="str">
        <f>""</f>
        <v/>
      </c>
      <c r="O2253" t="s">
        <v>7853</v>
      </c>
      <c r="P2253" t="s">
        <v>7854</v>
      </c>
      <c r="R2253" t="s">
        <v>7855</v>
      </c>
      <c r="S2253" t="s">
        <v>36</v>
      </c>
      <c r="T2253" t="str">
        <f>"85015"</f>
        <v>85015</v>
      </c>
      <c r="U2253" t="str">
        <f>""</f>
        <v/>
      </c>
      <c r="V2253" t="s">
        <v>7854</v>
      </c>
      <c r="X2253" t="s">
        <v>7855</v>
      </c>
      <c r="Y2253" t="s">
        <v>36</v>
      </c>
      <c r="Z2253" t="str">
        <f>"85015"</f>
        <v>85015</v>
      </c>
      <c r="AA2253" t="str">
        <f>""</f>
        <v/>
      </c>
      <c r="AB2253" t="s">
        <v>265</v>
      </c>
    </row>
    <row r="2254" spans="1:28" x14ac:dyDescent="0.25">
      <c r="A2254">
        <v>91934</v>
      </c>
      <c r="B2254" t="str">
        <f>"078218000"</f>
        <v>078218000</v>
      </c>
      <c r="C2254" t="s">
        <v>7850</v>
      </c>
      <c r="D2254">
        <v>92498</v>
      </c>
      <c r="E2254" t="str">
        <f>"078218001"</f>
        <v>078218001</v>
      </c>
      <c r="F2254" t="s">
        <v>7850</v>
      </c>
      <c r="G2254" t="s">
        <v>42</v>
      </c>
      <c r="H2254" t="s">
        <v>2850</v>
      </c>
      <c r="I2254" t="s">
        <v>7856</v>
      </c>
      <c r="J2254" t="s">
        <v>7857</v>
      </c>
      <c r="K2254" t="str">
        <f>"9377192731"</f>
        <v>9377192731</v>
      </c>
      <c r="L2254" t="str">
        <f>""</f>
        <v/>
      </c>
      <c r="M2254" t="str">
        <f>""</f>
        <v/>
      </c>
      <c r="N2254" t="str">
        <f>""</f>
        <v/>
      </c>
      <c r="O2254" t="s">
        <v>7858</v>
      </c>
      <c r="P2254" t="s">
        <v>7854</v>
      </c>
      <c r="R2254" t="s">
        <v>7855</v>
      </c>
      <c r="S2254" t="s">
        <v>36</v>
      </c>
      <c r="T2254" t="str">
        <f>"85015"</f>
        <v>85015</v>
      </c>
      <c r="U2254" t="str">
        <f>""</f>
        <v/>
      </c>
      <c r="V2254" t="s">
        <v>7854</v>
      </c>
      <c r="X2254" t="s">
        <v>7855</v>
      </c>
      <c r="Y2254" t="s">
        <v>36</v>
      </c>
      <c r="Z2254" t="str">
        <f>"85015"</f>
        <v>85015</v>
      </c>
      <c r="AA2254" t="str">
        <f>""</f>
        <v/>
      </c>
      <c r="AB2254" t="s">
        <v>265</v>
      </c>
    </row>
    <row r="2255" spans="1:28" x14ac:dyDescent="0.25">
      <c r="A2255">
        <v>91938</v>
      </c>
      <c r="B2255" t="str">
        <f>"078222000"</f>
        <v>078222000</v>
      </c>
      <c r="C2255" t="s">
        <v>7859</v>
      </c>
      <c r="D2255">
        <v>0</v>
      </c>
      <c r="E2255" t="str">
        <f>""</f>
        <v/>
      </c>
      <c r="G2255" t="s">
        <v>29</v>
      </c>
      <c r="H2255" t="s">
        <v>7860</v>
      </c>
      <c r="I2255" t="s">
        <v>7861</v>
      </c>
      <c r="J2255" t="s">
        <v>7738</v>
      </c>
      <c r="K2255" t="str">
        <f>"6026380820"</f>
        <v>6026380820</v>
      </c>
      <c r="L2255" t="str">
        <f>"3"</f>
        <v>3</v>
      </c>
      <c r="M2255" t="str">
        <f>""</f>
        <v/>
      </c>
      <c r="N2255" t="str">
        <f>""</f>
        <v/>
      </c>
      <c r="O2255" t="s">
        <v>7862</v>
      </c>
      <c r="P2255" t="s">
        <v>7863</v>
      </c>
      <c r="R2255" t="s">
        <v>964</v>
      </c>
      <c r="S2255" t="s">
        <v>36</v>
      </c>
      <c r="T2255" t="str">
        <f>"85031"</f>
        <v>85031</v>
      </c>
      <c r="U2255" t="str">
        <f>""</f>
        <v/>
      </c>
      <c r="V2255" t="s">
        <v>7863</v>
      </c>
      <c r="X2255" t="s">
        <v>964</v>
      </c>
      <c r="Y2255" t="s">
        <v>36</v>
      </c>
      <c r="Z2255" t="str">
        <f>"85031"</f>
        <v>85031</v>
      </c>
      <c r="AA2255" t="str">
        <f>""</f>
        <v/>
      </c>
      <c r="AB2255" t="s">
        <v>86</v>
      </c>
    </row>
    <row r="2256" spans="1:28" x14ac:dyDescent="0.25">
      <c r="A2256">
        <v>91938</v>
      </c>
      <c r="B2256" t="str">
        <f>"078222000"</f>
        <v>078222000</v>
      </c>
      <c r="C2256" t="s">
        <v>7859</v>
      </c>
      <c r="D2256">
        <v>92563</v>
      </c>
      <c r="E2256" t="str">
        <f>"078222001"</f>
        <v>078222001</v>
      </c>
      <c r="F2256" t="s">
        <v>7864</v>
      </c>
      <c r="G2256" t="s">
        <v>42</v>
      </c>
      <c r="H2256" t="s">
        <v>7860</v>
      </c>
      <c r="I2256" t="s">
        <v>7861</v>
      </c>
      <c r="J2256" t="s">
        <v>7738</v>
      </c>
      <c r="K2256" t="str">
        <f>"6026380820"</f>
        <v>6026380820</v>
      </c>
      <c r="L2256" t="str">
        <f>"3"</f>
        <v>3</v>
      </c>
      <c r="M2256" t="str">
        <f>""</f>
        <v/>
      </c>
      <c r="N2256" t="str">
        <f>""</f>
        <v/>
      </c>
      <c r="O2256" t="s">
        <v>7862</v>
      </c>
      <c r="P2256" t="s">
        <v>7865</v>
      </c>
      <c r="R2256" t="s">
        <v>964</v>
      </c>
      <c r="S2256" t="s">
        <v>36</v>
      </c>
      <c r="T2256" t="str">
        <f>"85031"</f>
        <v>85031</v>
      </c>
      <c r="U2256" t="str">
        <f>""</f>
        <v/>
      </c>
      <c r="V2256" t="s">
        <v>7865</v>
      </c>
      <c r="X2256" t="s">
        <v>964</v>
      </c>
      <c r="Y2256" t="s">
        <v>36</v>
      </c>
      <c r="Z2256" t="str">
        <f>"85031"</f>
        <v>85031</v>
      </c>
      <c r="AA2256" t="str">
        <f>""</f>
        <v/>
      </c>
      <c r="AB2256" t="s">
        <v>86</v>
      </c>
    </row>
    <row r="2257" spans="1:28" x14ac:dyDescent="0.25">
      <c r="A2257">
        <v>91939</v>
      </c>
      <c r="B2257" t="str">
        <f>"078223000"</f>
        <v>078223000</v>
      </c>
      <c r="C2257" t="s">
        <v>7866</v>
      </c>
      <c r="D2257">
        <v>0</v>
      </c>
      <c r="E2257" t="str">
        <f>""</f>
        <v/>
      </c>
      <c r="G2257" t="s">
        <v>29</v>
      </c>
      <c r="H2257" t="s">
        <v>7867</v>
      </c>
      <c r="I2257" t="s">
        <v>7868</v>
      </c>
      <c r="J2257" t="s">
        <v>7738</v>
      </c>
      <c r="K2257" t="str">
        <f>"6026380802"</f>
        <v>6026380802</v>
      </c>
      <c r="L2257" t="str">
        <f>"4401"</f>
        <v>4401</v>
      </c>
      <c r="M2257" t="str">
        <f>"6026830806"</f>
        <v>6026830806</v>
      </c>
      <c r="N2257" t="str">
        <f>""</f>
        <v/>
      </c>
      <c r="O2257" t="s">
        <v>7869</v>
      </c>
      <c r="P2257" t="s">
        <v>7870</v>
      </c>
      <c r="R2257" t="s">
        <v>979</v>
      </c>
      <c r="S2257" t="s">
        <v>36</v>
      </c>
      <c r="T2257" t="str">
        <f>"85203"</f>
        <v>85203</v>
      </c>
      <c r="U2257" t="str">
        <f>""</f>
        <v/>
      </c>
      <c r="V2257" t="s">
        <v>7870</v>
      </c>
      <c r="X2257" t="s">
        <v>979</v>
      </c>
      <c r="Y2257" t="s">
        <v>36</v>
      </c>
      <c r="Z2257" t="str">
        <f>"85203"</f>
        <v>85203</v>
      </c>
      <c r="AA2257" t="str">
        <f>""</f>
        <v/>
      </c>
      <c r="AB2257" t="s">
        <v>86</v>
      </c>
    </row>
    <row r="2258" spans="1:28" x14ac:dyDescent="0.25">
      <c r="A2258">
        <v>91939</v>
      </c>
      <c r="B2258" t="str">
        <f>"078223000"</f>
        <v>078223000</v>
      </c>
      <c r="C2258" t="s">
        <v>7866</v>
      </c>
      <c r="D2258">
        <v>92601</v>
      </c>
      <c r="E2258" t="str">
        <f>"078223001"</f>
        <v>078223001</v>
      </c>
      <c r="F2258" t="s">
        <v>7871</v>
      </c>
      <c r="G2258" t="s">
        <v>42</v>
      </c>
      <c r="H2258" t="s">
        <v>7867</v>
      </c>
      <c r="I2258" t="s">
        <v>7868</v>
      </c>
      <c r="J2258" t="s">
        <v>7738</v>
      </c>
      <c r="K2258" t="str">
        <f>"6022681212"</f>
        <v>6022681212</v>
      </c>
      <c r="L2258" t="str">
        <f>""</f>
        <v/>
      </c>
      <c r="M2258" t="str">
        <f>"6026380806"</f>
        <v>6026380806</v>
      </c>
      <c r="N2258" t="str">
        <f>""</f>
        <v/>
      </c>
      <c r="O2258" t="s">
        <v>7869</v>
      </c>
      <c r="P2258" t="s">
        <v>7872</v>
      </c>
      <c r="R2258" t="s">
        <v>979</v>
      </c>
      <c r="S2258" t="s">
        <v>36</v>
      </c>
      <c r="T2258" t="str">
        <f>"85203"</f>
        <v>85203</v>
      </c>
      <c r="U2258" t="str">
        <f>""</f>
        <v/>
      </c>
      <c r="V2258" t="s">
        <v>7872</v>
      </c>
      <c r="X2258" t="s">
        <v>979</v>
      </c>
      <c r="Y2258" t="s">
        <v>36</v>
      </c>
      <c r="Z2258" t="str">
        <f>"85203"</f>
        <v>85203</v>
      </c>
      <c r="AA2258" t="str">
        <f>""</f>
        <v/>
      </c>
      <c r="AB2258" t="s">
        <v>86</v>
      </c>
    </row>
    <row r="2259" spans="1:28" x14ac:dyDescent="0.25">
      <c r="A2259">
        <v>91948</v>
      </c>
      <c r="B2259" t="str">
        <f>"078224000"</f>
        <v>078224000</v>
      </c>
      <c r="C2259" t="s">
        <v>7873</v>
      </c>
      <c r="D2259">
        <v>0</v>
      </c>
      <c r="E2259" t="str">
        <f>""</f>
        <v/>
      </c>
      <c r="G2259" t="s">
        <v>29</v>
      </c>
      <c r="H2259" t="s">
        <v>7874</v>
      </c>
      <c r="I2259" t="s">
        <v>7875</v>
      </c>
      <c r="J2259" t="s">
        <v>7876</v>
      </c>
      <c r="K2259" t="str">
        <f>"3039472007"</f>
        <v>3039472007</v>
      </c>
      <c r="L2259" t="str">
        <f>""</f>
        <v/>
      </c>
      <c r="M2259" t="str">
        <f>""</f>
        <v/>
      </c>
      <c r="N2259" t="str">
        <f>""</f>
        <v/>
      </c>
      <c r="O2259" t="s">
        <v>7877</v>
      </c>
      <c r="P2259" t="s">
        <v>7878</v>
      </c>
      <c r="R2259" t="s">
        <v>964</v>
      </c>
      <c r="S2259" t="s">
        <v>36</v>
      </c>
      <c r="T2259" t="str">
        <f>"85003"</f>
        <v>85003</v>
      </c>
      <c r="U2259" t="str">
        <f>""</f>
        <v/>
      </c>
      <c r="V2259" t="s">
        <v>7878</v>
      </c>
      <c r="X2259" t="s">
        <v>964</v>
      </c>
      <c r="Y2259" t="s">
        <v>36</v>
      </c>
      <c r="Z2259" t="str">
        <f>"85003"</f>
        <v>85003</v>
      </c>
      <c r="AA2259" t="str">
        <f>""</f>
        <v/>
      </c>
      <c r="AB2259" t="s">
        <v>1466</v>
      </c>
    </row>
    <row r="2260" spans="1:28" x14ac:dyDescent="0.25">
      <c r="A2260">
        <v>91948</v>
      </c>
      <c r="B2260" t="str">
        <f>"078224000"</f>
        <v>078224000</v>
      </c>
      <c r="C2260" t="s">
        <v>7873</v>
      </c>
      <c r="D2260">
        <v>92177</v>
      </c>
      <c r="E2260" t="str">
        <f>"078224001"</f>
        <v>078224001</v>
      </c>
      <c r="F2260" t="s">
        <v>7879</v>
      </c>
      <c r="G2260" t="s">
        <v>42</v>
      </c>
      <c r="H2260" t="s">
        <v>7874</v>
      </c>
      <c r="I2260" t="s">
        <v>7875</v>
      </c>
      <c r="J2260" t="s">
        <v>7880</v>
      </c>
      <c r="K2260" t="str">
        <f>"6023747159"</f>
        <v>6023747159</v>
      </c>
      <c r="L2260" t="str">
        <f>"104"</f>
        <v>104</v>
      </c>
      <c r="M2260" t="str">
        <f>""</f>
        <v/>
      </c>
      <c r="N2260" t="str">
        <f>""</f>
        <v/>
      </c>
      <c r="O2260" t="s">
        <v>7877</v>
      </c>
      <c r="P2260" t="s">
        <v>7878</v>
      </c>
      <c r="R2260" t="s">
        <v>964</v>
      </c>
      <c r="S2260" t="s">
        <v>36</v>
      </c>
      <c r="T2260" t="str">
        <f>"85003"</f>
        <v>85003</v>
      </c>
      <c r="U2260" t="str">
        <f>""</f>
        <v/>
      </c>
      <c r="V2260" t="s">
        <v>7878</v>
      </c>
      <c r="X2260" t="s">
        <v>964</v>
      </c>
      <c r="Y2260" t="s">
        <v>36</v>
      </c>
      <c r="Z2260" t="str">
        <f>"85003"</f>
        <v>85003</v>
      </c>
      <c r="AA2260" t="str">
        <f>""</f>
        <v/>
      </c>
      <c r="AB2260" t="s">
        <v>1466</v>
      </c>
    </row>
    <row r="2261" spans="1:28" x14ac:dyDescent="0.25">
      <c r="A2261">
        <v>91948</v>
      </c>
      <c r="B2261" t="str">
        <f>"078224000"</f>
        <v>078224000</v>
      </c>
      <c r="C2261" t="s">
        <v>7873</v>
      </c>
      <c r="D2261">
        <v>551692</v>
      </c>
      <c r="E2261" t="str">
        <f>"078224002"</f>
        <v>078224002</v>
      </c>
      <c r="F2261" t="s">
        <v>7881</v>
      </c>
      <c r="G2261" t="s">
        <v>42</v>
      </c>
      <c r="H2261" t="s">
        <v>7874</v>
      </c>
      <c r="I2261" t="s">
        <v>7875</v>
      </c>
      <c r="J2261" t="s">
        <v>7880</v>
      </c>
      <c r="K2261" t="str">
        <f>"3039472007"</f>
        <v>3039472007</v>
      </c>
      <c r="L2261" t="str">
        <f>""</f>
        <v/>
      </c>
      <c r="M2261" t="str">
        <f>""</f>
        <v/>
      </c>
      <c r="N2261" t="str">
        <f>""</f>
        <v/>
      </c>
      <c r="O2261" t="s">
        <v>7877</v>
      </c>
      <c r="P2261" t="s">
        <v>7882</v>
      </c>
      <c r="R2261" t="s">
        <v>964</v>
      </c>
      <c r="S2261" t="s">
        <v>36</v>
      </c>
      <c r="T2261" t="str">
        <f>"85035"</f>
        <v>85035</v>
      </c>
      <c r="U2261" t="str">
        <f>""</f>
        <v/>
      </c>
      <c r="V2261" t="s">
        <v>7882</v>
      </c>
      <c r="X2261" t="s">
        <v>964</v>
      </c>
      <c r="Y2261" t="s">
        <v>36</v>
      </c>
      <c r="Z2261" t="str">
        <f>"85035"</f>
        <v>85035</v>
      </c>
      <c r="AA2261" t="str">
        <f>""</f>
        <v/>
      </c>
      <c r="AB2261" t="s">
        <v>1466</v>
      </c>
    </row>
    <row r="2262" spans="1:28" x14ac:dyDescent="0.25">
      <c r="A2262">
        <v>91992</v>
      </c>
      <c r="B2262" t="str">
        <f>"108227000"</f>
        <v>108227000</v>
      </c>
      <c r="C2262" t="s">
        <v>7883</v>
      </c>
      <c r="D2262">
        <v>0</v>
      </c>
      <c r="E2262" t="str">
        <f>""</f>
        <v/>
      </c>
      <c r="G2262" t="s">
        <v>29</v>
      </c>
      <c r="H2262" t="s">
        <v>2020</v>
      </c>
      <c r="I2262" t="s">
        <v>7884</v>
      </c>
      <c r="J2262" t="s">
        <v>7885</v>
      </c>
      <c r="K2262" t="str">
        <f>"5205469296"</f>
        <v>5205469296</v>
      </c>
      <c r="L2262" t="str">
        <f>""</f>
        <v/>
      </c>
      <c r="M2262" t="str">
        <f>"5208840037"</f>
        <v>5208840037</v>
      </c>
      <c r="N2262" t="str">
        <f>""</f>
        <v/>
      </c>
      <c r="O2262" t="s">
        <v>7886</v>
      </c>
      <c r="P2262" t="s">
        <v>7887</v>
      </c>
      <c r="R2262" t="s">
        <v>4169</v>
      </c>
      <c r="S2262" t="s">
        <v>36</v>
      </c>
      <c r="T2262" t="str">
        <f>"84752"</f>
        <v>84752</v>
      </c>
      <c r="U2262" t="str">
        <f>""</f>
        <v/>
      </c>
      <c r="V2262" t="s">
        <v>7888</v>
      </c>
      <c r="X2262" t="s">
        <v>4169</v>
      </c>
      <c r="Y2262" t="s">
        <v>36</v>
      </c>
      <c r="Z2262" t="str">
        <f>"85713"</f>
        <v>85713</v>
      </c>
      <c r="AA2262" t="str">
        <f>""</f>
        <v/>
      </c>
      <c r="AB2262" t="s">
        <v>282</v>
      </c>
    </row>
    <row r="2263" spans="1:28" x14ac:dyDescent="0.25">
      <c r="A2263">
        <v>91992</v>
      </c>
      <c r="B2263" t="str">
        <f>"108227000"</f>
        <v>108227000</v>
      </c>
      <c r="C2263" t="s">
        <v>7883</v>
      </c>
      <c r="D2263">
        <v>92497</v>
      </c>
      <c r="E2263" t="str">
        <f>"108227001"</f>
        <v>108227001</v>
      </c>
      <c r="F2263" t="s">
        <v>7889</v>
      </c>
      <c r="G2263" t="s">
        <v>42</v>
      </c>
      <c r="H2263" t="s">
        <v>1949</v>
      </c>
      <c r="I2263" t="s">
        <v>7890</v>
      </c>
      <c r="J2263" t="s">
        <v>3734</v>
      </c>
      <c r="K2263" t="str">
        <f>"5205469296"</f>
        <v>5205469296</v>
      </c>
      <c r="L2263" t="str">
        <f>""</f>
        <v/>
      </c>
      <c r="M2263" t="str">
        <f>"5208840037"</f>
        <v>5208840037</v>
      </c>
      <c r="N2263" t="str">
        <f>""</f>
        <v/>
      </c>
      <c r="O2263" t="s">
        <v>7891</v>
      </c>
      <c r="P2263" t="s">
        <v>7892</v>
      </c>
      <c r="R2263" t="s">
        <v>4169</v>
      </c>
      <c r="S2263" t="s">
        <v>36</v>
      </c>
      <c r="T2263" t="str">
        <f>"85752"</f>
        <v>85752</v>
      </c>
      <c r="U2263" t="str">
        <f>""</f>
        <v/>
      </c>
      <c r="V2263" t="s">
        <v>7888</v>
      </c>
      <c r="X2263" t="s">
        <v>4169</v>
      </c>
      <c r="Y2263" t="s">
        <v>36</v>
      </c>
      <c r="Z2263" t="str">
        <f>"85713"</f>
        <v>85713</v>
      </c>
      <c r="AA2263" t="str">
        <f>""</f>
        <v/>
      </c>
      <c r="AB2263" t="s">
        <v>282</v>
      </c>
    </row>
    <row r="2264" spans="1:28" x14ac:dyDescent="0.25">
      <c r="A2264">
        <v>92043</v>
      </c>
      <c r="B2264" t="str">
        <f>"078228000"</f>
        <v>078228000</v>
      </c>
      <c r="C2264" t="s">
        <v>7893</v>
      </c>
      <c r="D2264">
        <v>0</v>
      </c>
      <c r="E2264" t="str">
        <f>""</f>
        <v/>
      </c>
      <c r="G2264" t="s">
        <v>29</v>
      </c>
      <c r="H2264" t="s">
        <v>7894</v>
      </c>
      <c r="I2264" t="s">
        <v>1867</v>
      </c>
      <c r="J2264" t="s">
        <v>7895</v>
      </c>
      <c r="K2264" t="str">
        <f>"6022652000"</f>
        <v>6022652000</v>
      </c>
      <c r="L2264" t="str">
        <f>"2304"</f>
        <v>2304</v>
      </c>
      <c r="M2264" t="str">
        <f>""</f>
        <v/>
      </c>
      <c r="N2264" t="str">
        <f>""</f>
        <v/>
      </c>
      <c r="O2264" t="s">
        <v>7896</v>
      </c>
      <c r="P2264" t="s">
        <v>7897</v>
      </c>
      <c r="R2264" t="s">
        <v>964</v>
      </c>
      <c r="S2264" t="s">
        <v>36</v>
      </c>
      <c r="T2264" t="str">
        <f>"85043"</f>
        <v>85043</v>
      </c>
      <c r="U2264" t="str">
        <f>""</f>
        <v/>
      </c>
      <c r="V2264" t="s">
        <v>7897</v>
      </c>
      <c r="X2264" t="s">
        <v>964</v>
      </c>
      <c r="Y2264" t="s">
        <v>36</v>
      </c>
      <c r="Z2264" t="str">
        <f>"85043"</f>
        <v>85043</v>
      </c>
      <c r="AA2264" t="str">
        <f>""</f>
        <v/>
      </c>
      <c r="AB2264" t="s">
        <v>821</v>
      </c>
    </row>
    <row r="2265" spans="1:28" x14ac:dyDescent="0.25">
      <c r="A2265">
        <v>92043</v>
      </c>
      <c r="B2265" t="str">
        <f>"078228000"</f>
        <v>078228000</v>
      </c>
      <c r="C2265" t="s">
        <v>7893</v>
      </c>
      <c r="D2265">
        <v>92044</v>
      </c>
      <c r="E2265" t="str">
        <f>"078228001"</f>
        <v>078228001</v>
      </c>
      <c r="F2265" t="s">
        <v>7893</v>
      </c>
      <c r="G2265" t="s">
        <v>42</v>
      </c>
      <c r="H2265" t="s">
        <v>7894</v>
      </c>
      <c r="I2265" t="s">
        <v>1867</v>
      </c>
      <c r="J2265" t="s">
        <v>7898</v>
      </c>
      <c r="K2265" t="str">
        <f>"6022652000"</f>
        <v>6022652000</v>
      </c>
      <c r="L2265" t="str">
        <f>"2304"</f>
        <v>2304</v>
      </c>
      <c r="M2265" t="str">
        <f>""</f>
        <v/>
      </c>
      <c r="N2265" t="str">
        <f>""</f>
        <v/>
      </c>
      <c r="O2265" t="s">
        <v>7896</v>
      </c>
      <c r="P2265" t="s">
        <v>7899</v>
      </c>
      <c r="R2265" t="s">
        <v>964</v>
      </c>
      <c r="S2265" t="s">
        <v>36</v>
      </c>
      <c r="T2265" t="str">
        <f>"85043"</f>
        <v>85043</v>
      </c>
      <c r="U2265" t="str">
        <f>""</f>
        <v/>
      </c>
      <c r="V2265" t="s">
        <v>7899</v>
      </c>
      <c r="X2265" t="s">
        <v>964</v>
      </c>
      <c r="Y2265" t="s">
        <v>36</v>
      </c>
      <c r="Z2265" t="str">
        <f>"85043"</f>
        <v>85043</v>
      </c>
      <c r="AA2265" t="str">
        <f>""</f>
        <v/>
      </c>
      <c r="AB2265" t="s">
        <v>821</v>
      </c>
    </row>
    <row r="2266" spans="1:28" x14ac:dyDescent="0.25">
      <c r="A2266">
        <v>92049</v>
      </c>
      <c r="B2266" t="str">
        <f>"108403000"</f>
        <v>108403000</v>
      </c>
      <c r="C2266" t="s">
        <v>7900</v>
      </c>
      <c r="D2266">
        <v>0</v>
      </c>
      <c r="E2266" t="str">
        <f>""</f>
        <v/>
      </c>
      <c r="G2266" t="s">
        <v>29</v>
      </c>
      <c r="H2266" t="s">
        <v>4851</v>
      </c>
      <c r="I2266" t="s">
        <v>7901</v>
      </c>
      <c r="J2266" t="s">
        <v>4581</v>
      </c>
      <c r="K2266" t="str">
        <f>"5207302657"</f>
        <v>5207302657</v>
      </c>
      <c r="L2266" t="str">
        <f>""</f>
        <v/>
      </c>
      <c r="M2266" t="str">
        <f>""</f>
        <v/>
      </c>
      <c r="N2266" t="str">
        <f>""</f>
        <v/>
      </c>
      <c r="O2266" t="s">
        <v>7902</v>
      </c>
      <c r="P2266" t="s">
        <v>7903</v>
      </c>
      <c r="R2266" t="s">
        <v>4169</v>
      </c>
      <c r="S2266" t="s">
        <v>36</v>
      </c>
      <c r="T2266" t="str">
        <f>"85710"</f>
        <v>85710</v>
      </c>
      <c r="U2266" t="str">
        <f>""</f>
        <v/>
      </c>
      <c r="V2266" t="s">
        <v>7903</v>
      </c>
      <c r="X2266" t="s">
        <v>4169</v>
      </c>
      <c r="Y2266" t="s">
        <v>36</v>
      </c>
      <c r="Z2266" t="str">
        <f>"85710"</f>
        <v>85710</v>
      </c>
      <c r="AA2266" t="str">
        <f>""</f>
        <v/>
      </c>
      <c r="AB2266" t="s">
        <v>56</v>
      </c>
    </row>
    <row r="2267" spans="1:28" x14ac:dyDescent="0.25">
      <c r="A2267">
        <v>92049</v>
      </c>
      <c r="B2267" t="str">
        <f>"108403000"</f>
        <v>108403000</v>
      </c>
      <c r="C2267" t="s">
        <v>7900</v>
      </c>
      <c r="D2267">
        <v>92050</v>
      </c>
      <c r="E2267" t="str">
        <f>"108403001"</f>
        <v>108403001</v>
      </c>
      <c r="F2267" t="s">
        <v>7904</v>
      </c>
      <c r="G2267" t="s">
        <v>42</v>
      </c>
      <c r="H2267" t="s">
        <v>4851</v>
      </c>
      <c r="I2267" t="s">
        <v>7901</v>
      </c>
      <c r="J2267" t="s">
        <v>4581</v>
      </c>
      <c r="K2267" t="str">
        <f>"5207302657"</f>
        <v>5207302657</v>
      </c>
      <c r="L2267" t="str">
        <f>""</f>
        <v/>
      </c>
      <c r="M2267" t="str">
        <f>""</f>
        <v/>
      </c>
      <c r="N2267" t="str">
        <f>""</f>
        <v/>
      </c>
      <c r="O2267" t="s">
        <v>7902</v>
      </c>
      <c r="P2267" t="s">
        <v>7903</v>
      </c>
      <c r="R2267" t="s">
        <v>4169</v>
      </c>
      <c r="S2267" t="s">
        <v>36</v>
      </c>
      <c r="T2267" t="str">
        <f>"85710"</f>
        <v>85710</v>
      </c>
      <c r="U2267" t="str">
        <f>""</f>
        <v/>
      </c>
      <c r="V2267" t="s">
        <v>7903</v>
      </c>
      <c r="X2267" t="s">
        <v>4169</v>
      </c>
      <c r="Y2267" t="s">
        <v>36</v>
      </c>
      <c r="Z2267" t="str">
        <f>"85710"</f>
        <v>85710</v>
      </c>
      <c r="AA2267" t="str">
        <f>""</f>
        <v/>
      </c>
      <c r="AB2267" t="s">
        <v>56</v>
      </c>
    </row>
    <row r="2268" spans="1:28" x14ac:dyDescent="0.25">
      <c r="A2268">
        <v>92206</v>
      </c>
      <c r="B2268" t="str">
        <f>"131912000"</f>
        <v>131912000</v>
      </c>
      <c r="C2268" t="s">
        <v>7905</v>
      </c>
      <c r="D2268">
        <v>0</v>
      </c>
      <c r="E2268" t="str">
        <f>""</f>
        <v/>
      </c>
      <c r="G2268" t="s">
        <v>29</v>
      </c>
      <c r="H2268" t="s">
        <v>2552</v>
      </c>
      <c r="I2268" t="s">
        <v>3598</v>
      </c>
      <c r="J2268" t="s">
        <v>315</v>
      </c>
      <c r="K2268" t="str">
        <f>"5208828678"</f>
        <v>5208828678</v>
      </c>
      <c r="L2268" t="str">
        <f>""</f>
        <v/>
      </c>
      <c r="M2268" t="str">
        <f>""</f>
        <v/>
      </c>
      <c r="N2268" t="str">
        <f>""</f>
        <v/>
      </c>
      <c r="O2268" t="s">
        <v>7906</v>
      </c>
      <c r="P2268" t="s">
        <v>7907</v>
      </c>
      <c r="R2268" t="s">
        <v>4169</v>
      </c>
      <c r="S2268" t="s">
        <v>36</v>
      </c>
      <c r="T2268" t="str">
        <f>"85716"</f>
        <v>85716</v>
      </c>
      <c r="U2268" t="str">
        <f>""</f>
        <v/>
      </c>
      <c r="V2268" t="s">
        <v>7907</v>
      </c>
      <c r="X2268" t="s">
        <v>4169</v>
      </c>
      <c r="Y2268" t="s">
        <v>36</v>
      </c>
      <c r="Z2268" t="str">
        <f>"85716"</f>
        <v>85716</v>
      </c>
      <c r="AA2268" t="str">
        <f>""</f>
        <v/>
      </c>
      <c r="AB2268" t="s">
        <v>2345</v>
      </c>
    </row>
    <row r="2269" spans="1:28" x14ac:dyDescent="0.25">
      <c r="A2269">
        <v>92206</v>
      </c>
      <c r="B2269" t="str">
        <f>"131912000"</f>
        <v>131912000</v>
      </c>
      <c r="C2269" t="s">
        <v>7905</v>
      </c>
      <c r="D2269">
        <v>92207</v>
      </c>
      <c r="E2269" t="str">
        <f>"131912001"</f>
        <v>131912001</v>
      </c>
      <c r="F2269" t="s">
        <v>7905</v>
      </c>
      <c r="G2269" t="s">
        <v>42</v>
      </c>
      <c r="H2269" t="s">
        <v>2552</v>
      </c>
      <c r="I2269" t="s">
        <v>3598</v>
      </c>
      <c r="J2269" t="s">
        <v>315</v>
      </c>
      <c r="K2269" t="str">
        <f>"5208828678"</f>
        <v>5208828678</v>
      </c>
      <c r="L2269" t="str">
        <f>""</f>
        <v/>
      </c>
      <c r="M2269" t="str">
        <f>"5206174862"</f>
        <v>5206174862</v>
      </c>
      <c r="N2269" t="str">
        <f>""</f>
        <v/>
      </c>
      <c r="O2269" t="s">
        <v>7906</v>
      </c>
      <c r="P2269" t="s">
        <v>7907</v>
      </c>
      <c r="R2269" t="s">
        <v>4169</v>
      </c>
      <c r="S2269" t="s">
        <v>36</v>
      </c>
      <c r="T2269" t="str">
        <f>"85716"</f>
        <v>85716</v>
      </c>
      <c r="U2269" t="str">
        <f>""</f>
        <v/>
      </c>
      <c r="V2269" t="s">
        <v>7907</v>
      </c>
      <c r="X2269" t="s">
        <v>4169</v>
      </c>
      <c r="Y2269" t="s">
        <v>36</v>
      </c>
      <c r="Z2269" t="str">
        <f>"85716"</f>
        <v>85716</v>
      </c>
      <c r="AA2269" t="str">
        <f>""</f>
        <v/>
      </c>
      <c r="AB2269" t="s">
        <v>2345</v>
      </c>
    </row>
    <row r="2270" spans="1:28" x14ac:dyDescent="0.25">
      <c r="A2270">
        <v>92250</v>
      </c>
      <c r="B2270" t="str">
        <f>"078103000"</f>
        <v>078103000</v>
      </c>
      <c r="C2270" t="s">
        <v>3721</v>
      </c>
      <c r="D2270">
        <v>0</v>
      </c>
      <c r="E2270" t="str">
        <f>""</f>
        <v/>
      </c>
      <c r="G2270" t="s">
        <v>29</v>
      </c>
      <c r="H2270" t="s">
        <v>3722</v>
      </c>
      <c r="I2270" t="s">
        <v>394</v>
      </c>
      <c r="J2270" t="s">
        <v>32</v>
      </c>
      <c r="K2270" t="str">
        <f>"6027257971"</f>
        <v>6027257971</v>
      </c>
      <c r="L2270" t="str">
        <f>""</f>
        <v/>
      </c>
      <c r="M2270" t="str">
        <f>"6022437799"</f>
        <v>6022437799</v>
      </c>
      <c r="N2270" t="str">
        <f>""</f>
        <v/>
      </c>
      <c r="O2270" t="s">
        <v>3723</v>
      </c>
      <c r="P2270" t="s">
        <v>7908</v>
      </c>
      <c r="R2270" t="s">
        <v>964</v>
      </c>
      <c r="S2270" t="s">
        <v>36</v>
      </c>
      <c r="T2270" t="str">
        <f>"85040"</f>
        <v>85040</v>
      </c>
      <c r="U2270" t="str">
        <f>""</f>
        <v/>
      </c>
      <c r="V2270" t="s">
        <v>7908</v>
      </c>
      <c r="X2270" t="s">
        <v>964</v>
      </c>
      <c r="Y2270" t="s">
        <v>36</v>
      </c>
      <c r="Z2270" t="str">
        <f>"85040"</f>
        <v>85040</v>
      </c>
      <c r="AA2270" t="str">
        <f>""</f>
        <v/>
      </c>
      <c r="AB2270" t="s">
        <v>516</v>
      </c>
    </row>
    <row r="2271" spans="1:28" x14ac:dyDescent="0.25">
      <c r="A2271">
        <v>92250</v>
      </c>
      <c r="B2271" t="str">
        <f>"078103000"</f>
        <v>078103000</v>
      </c>
      <c r="C2271" t="s">
        <v>3721</v>
      </c>
      <c r="D2271">
        <v>85886</v>
      </c>
      <c r="E2271" t="str">
        <f>"078103001"</f>
        <v>078103001</v>
      </c>
      <c r="F2271" t="s">
        <v>7909</v>
      </c>
      <c r="G2271" t="s">
        <v>42</v>
      </c>
      <c r="H2271" t="s">
        <v>3722</v>
      </c>
      <c r="I2271" t="s">
        <v>394</v>
      </c>
      <c r="J2271" t="s">
        <v>32</v>
      </c>
      <c r="K2271" t="str">
        <f>"6027257971"</f>
        <v>6027257971</v>
      </c>
      <c r="L2271" t="str">
        <f>""</f>
        <v/>
      </c>
      <c r="M2271" t="str">
        <f>"6022437799"</f>
        <v>6022437799</v>
      </c>
      <c r="N2271" t="str">
        <f>""</f>
        <v/>
      </c>
      <c r="O2271" t="s">
        <v>3723</v>
      </c>
      <c r="P2271" t="s">
        <v>7910</v>
      </c>
      <c r="R2271" t="s">
        <v>964</v>
      </c>
      <c r="S2271" t="s">
        <v>36</v>
      </c>
      <c r="T2271" t="str">
        <f>"85040"</f>
        <v>85040</v>
      </c>
      <c r="U2271" t="str">
        <f>""</f>
        <v/>
      </c>
      <c r="V2271" t="s">
        <v>7910</v>
      </c>
      <c r="X2271" t="s">
        <v>964</v>
      </c>
      <c r="Y2271" t="s">
        <v>36</v>
      </c>
      <c r="Z2271" t="str">
        <f>"85040"</f>
        <v>85040</v>
      </c>
      <c r="AA2271" t="str">
        <f>""</f>
        <v/>
      </c>
      <c r="AB2271" t="s">
        <v>516</v>
      </c>
    </row>
    <row r="2272" spans="1:28" x14ac:dyDescent="0.25">
      <c r="A2272">
        <v>92364</v>
      </c>
      <c r="B2272" t="str">
        <f>"072097000"</f>
        <v>072097000</v>
      </c>
      <c r="C2272" t="s">
        <v>7911</v>
      </c>
      <c r="D2272">
        <v>0</v>
      </c>
      <c r="E2272" t="str">
        <f>""</f>
        <v/>
      </c>
      <c r="G2272" t="s">
        <v>29</v>
      </c>
      <c r="H2272" t="s">
        <v>7912</v>
      </c>
      <c r="I2272" t="s">
        <v>7913</v>
      </c>
      <c r="J2272" t="s">
        <v>3758</v>
      </c>
      <c r="K2272" t="str">
        <f>"6022777479"</f>
        <v>6022777479</v>
      </c>
      <c r="L2272" t="str">
        <f>""</f>
        <v/>
      </c>
      <c r="M2272" t="str">
        <f>""</f>
        <v/>
      </c>
      <c r="N2272" t="str">
        <f>""</f>
        <v/>
      </c>
      <c r="O2272" t="s">
        <v>7914</v>
      </c>
      <c r="P2272" t="s">
        <v>7915</v>
      </c>
      <c r="R2272" t="s">
        <v>964</v>
      </c>
      <c r="S2272" t="s">
        <v>36</v>
      </c>
      <c r="T2272" t="str">
        <f>"85014"</f>
        <v>85014</v>
      </c>
      <c r="U2272" t="str">
        <f>""</f>
        <v/>
      </c>
      <c r="V2272" t="s">
        <v>7915</v>
      </c>
      <c r="X2272" t="s">
        <v>964</v>
      </c>
      <c r="Y2272" t="s">
        <v>36</v>
      </c>
      <c r="Z2272" t="str">
        <f>"85014"</f>
        <v>85014</v>
      </c>
      <c r="AA2272" t="str">
        <f>""</f>
        <v/>
      </c>
      <c r="AB2272" t="s">
        <v>282</v>
      </c>
    </row>
    <row r="2273" spans="1:28" x14ac:dyDescent="0.25">
      <c r="A2273">
        <v>92364</v>
      </c>
      <c r="B2273" t="str">
        <f>"072097000"</f>
        <v>072097000</v>
      </c>
      <c r="C2273" t="s">
        <v>7911</v>
      </c>
      <c r="D2273">
        <v>92365</v>
      </c>
      <c r="E2273" t="str">
        <f>"072097001"</f>
        <v>072097001</v>
      </c>
      <c r="F2273" t="s">
        <v>7911</v>
      </c>
      <c r="G2273" t="s">
        <v>42</v>
      </c>
      <c r="H2273" t="s">
        <v>7912</v>
      </c>
      <c r="I2273" t="s">
        <v>7913</v>
      </c>
      <c r="J2273" t="s">
        <v>3758</v>
      </c>
      <c r="K2273" t="str">
        <f>"6022777479"</f>
        <v>6022777479</v>
      </c>
      <c r="L2273" t="str">
        <f>""</f>
        <v/>
      </c>
      <c r="M2273" t="str">
        <f>"6022740713"</f>
        <v>6022740713</v>
      </c>
      <c r="N2273" t="str">
        <f>""</f>
        <v/>
      </c>
      <c r="O2273" t="s">
        <v>7914</v>
      </c>
      <c r="P2273" t="s">
        <v>7915</v>
      </c>
      <c r="R2273" t="s">
        <v>964</v>
      </c>
      <c r="S2273" t="s">
        <v>36</v>
      </c>
      <c r="T2273" t="str">
        <f>"85012"</f>
        <v>85012</v>
      </c>
      <c r="U2273" t="str">
        <f>""</f>
        <v/>
      </c>
      <c r="V2273" t="s">
        <v>7915</v>
      </c>
      <c r="X2273" t="s">
        <v>964</v>
      </c>
      <c r="Y2273" t="s">
        <v>36</v>
      </c>
      <c r="Z2273" t="str">
        <f>"85012"</f>
        <v>85012</v>
      </c>
      <c r="AA2273" t="str">
        <f>""</f>
        <v/>
      </c>
      <c r="AB2273" t="s">
        <v>282</v>
      </c>
    </row>
    <row r="2274" spans="1:28" x14ac:dyDescent="0.25">
      <c r="A2274">
        <v>92369</v>
      </c>
      <c r="B2274" t="str">
        <f>"078253000"</f>
        <v>078253000</v>
      </c>
      <c r="C2274" t="s">
        <v>7916</v>
      </c>
      <c r="D2274">
        <v>0</v>
      </c>
      <c r="E2274" t="str">
        <f>""</f>
        <v/>
      </c>
      <c r="G2274" t="s">
        <v>29</v>
      </c>
      <c r="H2274" t="s">
        <v>2957</v>
      </c>
      <c r="I2274" t="s">
        <v>7917</v>
      </c>
      <c r="J2274" t="s">
        <v>486</v>
      </c>
      <c r="K2274" t="str">
        <f>"6027101101"</f>
        <v>6027101101</v>
      </c>
      <c r="L2274" t="str">
        <f>""</f>
        <v/>
      </c>
      <c r="M2274" t="str">
        <f>"6027145345"</f>
        <v>6027145345</v>
      </c>
      <c r="N2274" t="str">
        <f>""</f>
        <v/>
      </c>
      <c r="O2274" t="s">
        <v>7918</v>
      </c>
      <c r="P2274" t="s">
        <v>7919</v>
      </c>
      <c r="R2274" t="s">
        <v>964</v>
      </c>
      <c r="S2274" t="s">
        <v>36</v>
      </c>
      <c r="T2274" t="str">
        <f>"85008"</f>
        <v>85008</v>
      </c>
      <c r="U2274" t="str">
        <f>""</f>
        <v/>
      </c>
      <c r="V2274" t="s">
        <v>7919</v>
      </c>
      <c r="X2274" t="s">
        <v>964</v>
      </c>
      <c r="Y2274" t="s">
        <v>36</v>
      </c>
      <c r="Z2274" t="str">
        <f>"85008"</f>
        <v>85008</v>
      </c>
      <c r="AA2274" t="str">
        <f>""</f>
        <v/>
      </c>
      <c r="AB2274" t="s">
        <v>156</v>
      </c>
    </row>
    <row r="2275" spans="1:28" x14ac:dyDescent="0.25">
      <c r="A2275">
        <v>92369</v>
      </c>
      <c r="B2275" t="str">
        <f>"078253000"</f>
        <v>078253000</v>
      </c>
      <c r="C2275" t="s">
        <v>7916</v>
      </c>
      <c r="D2275">
        <v>92906</v>
      </c>
      <c r="E2275" t="str">
        <f>"078253001"</f>
        <v>078253001</v>
      </c>
      <c r="F2275" t="s">
        <v>7916</v>
      </c>
      <c r="G2275" t="s">
        <v>42</v>
      </c>
      <c r="H2275" t="s">
        <v>2957</v>
      </c>
      <c r="I2275" t="s">
        <v>7917</v>
      </c>
      <c r="J2275" t="s">
        <v>486</v>
      </c>
      <c r="K2275" t="str">
        <f>"6027101101"</f>
        <v>6027101101</v>
      </c>
      <c r="L2275" t="str">
        <f>""</f>
        <v/>
      </c>
      <c r="M2275" t="str">
        <f>"6237145345"</f>
        <v>6237145345</v>
      </c>
      <c r="N2275" t="str">
        <f>""</f>
        <v/>
      </c>
      <c r="O2275" t="s">
        <v>7918</v>
      </c>
      <c r="P2275" t="s">
        <v>7919</v>
      </c>
      <c r="R2275" t="s">
        <v>964</v>
      </c>
      <c r="S2275" t="s">
        <v>36</v>
      </c>
      <c r="T2275" t="str">
        <f>"85008"</f>
        <v>85008</v>
      </c>
      <c r="U2275" t="str">
        <f>""</f>
        <v/>
      </c>
      <c r="V2275" t="s">
        <v>7919</v>
      </c>
      <c r="X2275" t="s">
        <v>964</v>
      </c>
      <c r="Y2275" t="s">
        <v>36</v>
      </c>
      <c r="Z2275" t="str">
        <f>"85008"</f>
        <v>85008</v>
      </c>
      <c r="AA2275" t="str">
        <f>""</f>
        <v/>
      </c>
      <c r="AB2275" t="s">
        <v>156</v>
      </c>
    </row>
    <row r="2276" spans="1:28" x14ac:dyDescent="0.25">
      <c r="A2276">
        <v>92374</v>
      </c>
      <c r="B2276" t="str">
        <f>"078261000"</f>
        <v>078261000</v>
      </c>
      <c r="C2276" t="s">
        <v>7920</v>
      </c>
      <c r="D2276">
        <v>0</v>
      </c>
      <c r="E2276" t="str">
        <f>""</f>
        <v/>
      </c>
      <c r="G2276" t="s">
        <v>29</v>
      </c>
      <c r="H2276" t="s">
        <v>834</v>
      </c>
      <c r="I2276" t="s">
        <v>3419</v>
      </c>
      <c r="J2276" t="s">
        <v>32</v>
      </c>
      <c r="K2276" t="str">
        <f>"4802916900"</f>
        <v>4802916900</v>
      </c>
      <c r="L2276" t="str">
        <f>"3154"</f>
        <v>3154</v>
      </c>
      <c r="M2276" t="str">
        <f>"4802916901"</f>
        <v>4802916901</v>
      </c>
      <c r="N2276" t="str">
        <f>""</f>
        <v/>
      </c>
      <c r="O2276" t="s">
        <v>6117</v>
      </c>
      <c r="P2276" t="s">
        <v>7921</v>
      </c>
      <c r="R2276" t="s">
        <v>1465</v>
      </c>
      <c r="S2276" t="s">
        <v>36</v>
      </c>
      <c r="T2276" t="str">
        <f>"85250"</f>
        <v>85250</v>
      </c>
      <c r="U2276" t="str">
        <f>""</f>
        <v/>
      </c>
      <c r="V2276" t="s">
        <v>7921</v>
      </c>
      <c r="X2276" t="s">
        <v>1465</v>
      </c>
      <c r="Y2276" t="s">
        <v>36</v>
      </c>
      <c r="Z2276" t="str">
        <f>"85250"</f>
        <v>85250</v>
      </c>
      <c r="AA2276" t="str">
        <f>""</f>
        <v/>
      </c>
      <c r="AB2276" t="s">
        <v>282</v>
      </c>
    </row>
    <row r="2277" spans="1:28" x14ac:dyDescent="0.25">
      <c r="A2277">
        <v>92374</v>
      </c>
      <c r="B2277" t="str">
        <f>"078261000"</f>
        <v>078261000</v>
      </c>
      <c r="C2277" t="s">
        <v>7920</v>
      </c>
      <c r="D2277">
        <v>92345</v>
      </c>
      <c r="E2277" t="str">
        <f>"078261001"</f>
        <v>078261001</v>
      </c>
      <c r="F2277" t="s">
        <v>7920</v>
      </c>
      <c r="G2277" t="s">
        <v>42</v>
      </c>
      <c r="H2277" t="s">
        <v>834</v>
      </c>
      <c r="I2277" t="s">
        <v>3419</v>
      </c>
      <c r="J2277" t="s">
        <v>32</v>
      </c>
      <c r="K2277" t="str">
        <f>"4802916900"</f>
        <v>4802916900</v>
      </c>
      <c r="L2277" t="str">
        <f>"3154"</f>
        <v>3154</v>
      </c>
      <c r="M2277" t="str">
        <f>"4802916901"</f>
        <v>4802916901</v>
      </c>
      <c r="N2277" t="str">
        <f>""</f>
        <v/>
      </c>
      <c r="O2277" t="s">
        <v>6117</v>
      </c>
      <c r="P2277" t="s">
        <v>7921</v>
      </c>
      <c r="R2277" t="s">
        <v>1465</v>
      </c>
      <c r="S2277" t="s">
        <v>36</v>
      </c>
      <c r="T2277" t="str">
        <f>"85250"</f>
        <v>85250</v>
      </c>
      <c r="U2277" t="str">
        <f>""</f>
        <v/>
      </c>
      <c r="V2277" t="s">
        <v>7921</v>
      </c>
      <c r="X2277" t="s">
        <v>1465</v>
      </c>
      <c r="Y2277" t="s">
        <v>36</v>
      </c>
      <c r="Z2277" t="str">
        <f>"85250"</f>
        <v>85250</v>
      </c>
      <c r="AA2277" t="str">
        <f>""</f>
        <v/>
      </c>
      <c r="AB2277" t="s">
        <v>282</v>
      </c>
    </row>
    <row r="2278" spans="1:28" x14ac:dyDescent="0.25">
      <c r="A2278">
        <v>92379</v>
      </c>
      <c r="B2278" t="str">
        <f>"078254000"</f>
        <v>078254000</v>
      </c>
      <c r="C2278" t="s">
        <v>7922</v>
      </c>
      <c r="D2278">
        <v>0</v>
      </c>
      <c r="E2278" t="str">
        <f>""</f>
        <v/>
      </c>
      <c r="G2278" t="s">
        <v>29</v>
      </c>
      <c r="H2278" t="s">
        <v>7923</v>
      </c>
      <c r="I2278" t="s">
        <v>7924</v>
      </c>
      <c r="J2278" t="s">
        <v>7925</v>
      </c>
      <c r="K2278" t="str">
        <f>"6232493211"</f>
        <v>6232493211</v>
      </c>
      <c r="L2278" t="str">
        <f>""</f>
        <v/>
      </c>
      <c r="M2278" t="str">
        <f>"6232493209"</f>
        <v>6232493209</v>
      </c>
      <c r="N2278" t="str">
        <f>""</f>
        <v/>
      </c>
      <c r="O2278" t="s">
        <v>7926</v>
      </c>
      <c r="P2278" t="s">
        <v>7927</v>
      </c>
      <c r="R2278" t="s">
        <v>1173</v>
      </c>
      <c r="S2278" t="s">
        <v>36</v>
      </c>
      <c r="T2278" t="str">
        <f>"85302"</f>
        <v>85302</v>
      </c>
      <c r="U2278" t="str">
        <f>""</f>
        <v/>
      </c>
      <c r="V2278" t="s">
        <v>7927</v>
      </c>
      <c r="X2278" t="s">
        <v>1173</v>
      </c>
      <c r="Y2278" t="s">
        <v>36</v>
      </c>
      <c r="Z2278" t="str">
        <f>"85302"</f>
        <v>85302</v>
      </c>
      <c r="AA2278" t="str">
        <f>""</f>
        <v/>
      </c>
      <c r="AB2278" t="s">
        <v>282</v>
      </c>
    </row>
    <row r="2279" spans="1:28" x14ac:dyDescent="0.25">
      <c r="A2279">
        <v>92379</v>
      </c>
      <c r="B2279" t="str">
        <f>"078254000"</f>
        <v>078254000</v>
      </c>
      <c r="C2279" t="s">
        <v>7922</v>
      </c>
      <c r="D2279">
        <v>92893</v>
      </c>
      <c r="E2279" t="str">
        <f>"078254001"</f>
        <v>078254001</v>
      </c>
      <c r="F2279" t="s">
        <v>7928</v>
      </c>
      <c r="G2279" t="s">
        <v>42</v>
      </c>
      <c r="H2279" t="s">
        <v>7923</v>
      </c>
      <c r="I2279" t="s">
        <v>7924</v>
      </c>
      <c r="J2279" t="s">
        <v>7925</v>
      </c>
      <c r="K2279" t="str">
        <f>"6232493211"</f>
        <v>6232493211</v>
      </c>
      <c r="L2279" t="str">
        <f>""</f>
        <v/>
      </c>
      <c r="M2279" t="str">
        <f>"6232493209"</f>
        <v>6232493209</v>
      </c>
      <c r="N2279" t="str">
        <f>""</f>
        <v/>
      </c>
      <c r="O2279" t="s">
        <v>7926</v>
      </c>
      <c r="P2279" t="s">
        <v>7929</v>
      </c>
      <c r="R2279" t="s">
        <v>1173</v>
      </c>
      <c r="S2279" t="s">
        <v>36</v>
      </c>
      <c r="T2279" t="str">
        <f>"85302"</f>
        <v>85302</v>
      </c>
      <c r="U2279" t="str">
        <f>""</f>
        <v/>
      </c>
      <c r="V2279" t="s">
        <v>7929</v>
      </c>
      <c r="X2279" t="s">
        <v>1173</v>
      </c>
      <c r="Y2279" t="s">
        <v>36</v>
      </c>
      <c r="Z2279" t="str">
        <f>"85302"</f>
        <v>85302</v>
      </c>
      <c r="AA2279" t="str">
        <f>""</f>
        <v/>
      </c>
      <c r="AB2279" t="s">
        <v>282</v>
      </c>
    </row>
    <row r="2280" spans="1:28" x14ac:dyDescent="0.25">
      <c r="A2280">
        <v>92381</v>
      </c>
      <c r="B2280" t="str">
        <f>"078256000"</f>
        <v>078256000</v>
      </c>
      <c r="C2280" t="s">
        <v>7930</v>
      </c>
      <c r="D2280">
        <v>0</v>
      </c>
      <c r="E2280" t="str">
        <f>""</f>
        <v/>
      </c>
      <c r="G2280" t="s">
        <v>29</v>
      </c>
      <c r="H2280" t="s">
        <v>7931</v>
      </c>
      <c r="I2280" t="s">
        <v>7932</v>
      </c>
      <c r="J2280" t="s">
        <v>134</v>
      </c>
      <c r="K2280" t="str">
        <f>"4806412640"</f>
        <v>4806412640</v>
      </c>
      <c r="L2280" t="str">
        <f>""</f>
        <v/>
      </c>
      <c r="M2280" t="str">
        <f>""</f>
        <v/>
      </c>
      <c r="N2280" t="str">
        <f>""</f>
        <v/>
      </c>
      <c r="O2280" t="s">
        <v>7933</v>
      </c>
      <c r="P2280" t="s">
        <v>7934</v>
      </c>
      <c r="R2280" t="s">
        <v>979</v>
      </c>
      <c r="S2280" t="s">
        <v>36</v>
      </c>
      <c r="T2280" t="str">
        <f>"85205"</f>
        <v>85205</v>
      </c>
      <c r="U2280" t="str">
        <f>""</f>
        <v/>
      </c>
      <c r="V2280" t="s">
        <v>7935</v>
      </c>
      <c r="X2280" t="s">
        <v>964</v>
      </c>
      <c r="Y2280" t="s">
        <v>36</v>
      </c>
      <c r="Z2280" t="str">
        <f>"85014"</f>
        <v>85014</v>
      </c>
      <c r="AA2280" t="str">
        <f>""</f>
        <v/>
      </c>
      <c r="AB2280" t="s">
        <v>508</v>
      </c>
    </row>
    <row r="2281" spans="1:28" x14ac:dyDescent="0.25">
      <c r="A2281">
        <v>92381</v>
      </c>
      <c r="B2281" t="str">
        <f>"078256000"</f>
        <v>078256000</v>
      </c>
      <c r="C2281" t="s">
        <v>7930</v>
      </c>
      <c r="D2281">
        <v>92890</v>
      </c>
      <c r="E2281" t="str">
        <f>"078256101"</f>
        <v>078256101</v>
      </c>
      <c r="F2281" t="s">
        <v>7930</v>
      </c>
      <c r="G2281" t="s">
        <v>42</v>
      </c>
      <c r="H2281" t="s">
        <v>7931</v>
      </c>
      <c r="I2281" t="s">
        <v>7932</v>
      </c>
      <c r="J2281" t="s">
        <v>7209</v>
      </c>
      <c r="K2281" t="str">
        <f>"6022741910"</f>
        <v>6022741910</v>
      </c>
      <c r="L2281" t="str">
        <f>""</f>
        <v/>
      </c>
      <c r="M2281" t="str">
        <f>""</f>
        <v/>
      </c>
      <c r="N2281" t="str">
        <f>""</f>
        <v/>
      </c>
      <c r="O2281" t="s">
        <v>7933</v>
      </c>
      <c r="P2281" t="s">
        <v>7934</v>
      </c>
      <c r="R2281" t="s">
        <v>979</v>
      </c>
      <c r="S2281" t="s">
        <v>36</v>
      </c>
      <c r="T2281" t="str">
        <f>"85205"</f>
        <v>85205</v>
      </c>
      <c r="U2281" t="str">
        <f>""</f>
        <v/>
      </c>
      <c r="V2281" t="s">
        <v>7935</v>
      </c>
      <c r="X2281" t="s">
        <v>964</v>
      </c>
      <c r="Y2281" t="s">
        <v>36</v>
      </c>
      <c r="Z2281" t="str">
        <f>"85014"</f>
        <v>85014</v>
      </c>
      <c r="AA2281" t="str">
        <f>""</f>
        <v/>
      </c>
      <c r="AB2281" t="s">
        <v>508</v>
      </c>
    </row>
    <row r="2282" spans="1:28" x14ac:dyDescent="0.25">
      <c r="A2282">
        <v>92499</v>
      </c>
      <c r="B2282" t="str">
        <f>"108513000"</f>
        <v>108513000</v>
      </c>
      <c r="C2282" t="s">
        <v>7936</v>
      </c>
      <c r="D2282">
        <v>0</v>
      </c>
      <c r="E2282" t="str">
        <f>""</f>
        <v/>
      </c>
      <c r="G2282" t="s">
        <v>29</v>
      </c>
      <c r="H2282" t="s">
        <v>6205</v>
      </c>
      <c r="I2282" t="s">
        <v>7937</v>
      </c>
      <c r="J2282" t="s">
        <v>202</v>
      </c>
      <c r="K2282" t="str">
        <f>"5206247169"</f>
        <v>5206247169</v>
      </c>
      <c r="L2282" t="str">
        <f>""</f>
        <v/>
      </c>
      <c r="M2282" t="str">
        <f>"5204456712"</f>
        <v>5204456712</v>
      </c>
      <c r="N2282" t="str">
        <f>""</f>
        <v/>
      </c>
      <c r="O2282" t="s">
        <v>7938</v>
      </c>
      <c r="P2282" t="s">
        <v>7939</v>
      </c>
      <c r="R2282" t="s">
        <v>4169</v>
      </c>
      <c r="S2282" t="s">
        <v>36</v>
      </c>
      <c r="T2282" t="str">
        <f>"85705"</f>
        <v>85705</v>
      </c>
      <c r="U2282" t="str">
        <f>""</f>
        <v/>
      </c>
      <c r="V2282" t="s">
        <v>7939</v>
      </c>
      <c r="X2282" t="s">
        <v>4169</v>
      </c>
      <c r="Y2282" t="s">
        <v>36</v>
      </c>
      <c r="Z2282" t="str">
        <f>"85705"</f>
        <v>85705</v>
      </c>
      <c r="AA2282" t="str">
        <f>""</f>
        <v/>
      </c>
      <c r="AB2282" t="s">
        <v>7846</v>
      </c>
    </row>
    <row r="2283" spans="1:28" x14ac:dyDescent="0.25">
      <c r="A2283">
        <v>92499</v>
      </c>
      <c r="B2283" t="str">
        <f>"108513000"</f>
        <v>108513000</v>
      </c>
      <c r="C2283" t="s">
        <v>7936</v>
      </c>
      <c r="D2283">
        <v>92500</v>
      </c>
      <c r="E2283" t="str">
        <f>"108513001"</f>
        <v>108513001</v>
      </c>
      <c r="F2283" t="s">
        <v>7940</v>
      </c>
      <c r="G2283" t="s">
        <v>42</v>
      </c>
      <c r="H2283" t="s">
        <v>6205</v>
      </c>
      <c r="I2283" t="s">
        <v>7937</v>
      </c>
      <c r="J2283" t="s">
        <v>202</v>
      </c>
      <c r="K2283" t="str">
        <f>"5206247169"</f>
        <v>5206247169</v>
      </c>
      <c r="L2283" t="str">
        <f>"302"</f>
        <v>302</v>
      </c>
      <c r="M2283" t="str">
        <f>"5204456712"</f>
        <v>5204456712</v>
      </c>
      <c r="N2283" t="str">
        <f>""</f>
        <v/>
      </c>
      <c r="O2283" t="s">
        <v>7938</v>
      </c>
      <c r="P2283" t="s">
        <v>7939</v>
      </c>
      <c r="R2283" t="s">
        <v>4169</v>
      </c>
      <c r="S2283" t="s">
        <v>36</v>
      </c>
      <c r="T2283" t="str">
        <f>"85705"</f>
        <v>85705</v>
      </c>
      <c r="U2283" t="str">
        <f>""</f>
        <v/>
      </c>
      <c r="V2283" t="s">
        <v>7939</v>
      </c>
      <c r="X2283" t="s">
        <v>4169</v>
      </c>
      <c r="Y2283" t="s">
        <v>36</v>
      </c>
      <c r="Z2283" t="str">
        <f>"85705"</f>
        <v>85705</v>
      </c>
      <c r="AA2283" t="str">
        <f>""</f>
        <v/>
      </c>
      <c r="AB2283" t="s">
        <v>7846</v>
      </c>
    </row>
    <row r="2284" spans="1:28" x14ac:dyDescent="0.25">
      <c r="A2284">
        <v>92564</v>
      </c>
      <c r="B2284" t="str">
        <f>"102041000"</f>
        <v>102041000</v>
      </c>
      <c r="C2284" t="s">
        <v>7941</v>
      </c>
      <c r="D2284">
        <v>0</v>
      </c>
      <c r="E2284" t="str">
        <f>""</f>
        <v/>
      </c>
      <c r="G2284" t="s">
        <v>29</v>
      </c>
      <c r="H2284" t="s">
        <v>7942</v>
      </c>
      <c r="I2284" t="s">
        <v>5151</v>
      </c>
      <c r="J2284" t="s">
        <v>7943</v>
      </c>
      <c r="K2284" t="str">
        <f>"5207471027"</f>
        <v>5207471027</v>
      </c>
      <c r="L2284" t="str">
        <f>""</f>
        <v/>
      </c>
      <c r="M2284" t="str">
        <f>"5207470797"</f>
        <v>5207470797</v>
      </c>
      <c r="N2284" t="str">
        <f>""</f>
        <v/>
      </c>
      <c r="O2284" t="s">
        <v>7944</v>
      </c>
      <c r="P2284" t="s">
        <v>7945</v>
      </c>
      <c r="R2284" t="s">
        <v>4169</v>
      </c>
      <c r="S2284" t="s">
        <v>36</v>
      </c>
      <c r="T2284" t="str">
        <f>"85710"</f>
        <v>85710</v>
      </c>
      <c r="U2284" t="str">
        <f>""</f>
        <v/>
      </c>
      <c r="V2284" t="s">
        <v>7945</v>
      </c>
      <c r="X2284" t="s">
        <v>4169</v>
      </c>
      <c r="Y2284" t="s">
        <v>36</v>
      </c>
      <c r="Z2284" t="str">
        <f>"85710"</f>
        <v>85710</v>
      </c>
      <c r="AA2284" t="str">
        <f>""</f>
        <v/>
      </c>
      <c r="AB2284" t="s">
        <v>7418</v>
      </c>
    </row>
    <row r="2285" spans="1:28" x14ac:dyDescent="0.25">
      <c r="A2285">
        <v>92564</v>
      </c>
      <c r="B2285" t="str">
        <f>"102041000"</f>
        <v>102041000</v>
      </c>
      <c r="C2285" t="s">
        <v>7941</v>
      </c>
      <c r="D2285">
        <v>90000</v>
      </c>
      <c r="E2285" t="str">
        <f>"102041001"</f>
        <v>102041001</v>
      </c>
      <c r="F2285" t="s">
        <v>7946</v>
      </c>
      <c r="G2285" t="s">
        <v>42</v>
      </c>
      <c r="H2285" t="s">
        <v>7947</v>
      </c>
      <c r="I2285" t="s">
        <v>2472</v>
      </c>
      <c r="J2285" t="s">
        <v>301</v>
      </c>
      <c r="K2285" t="str">
        <f>"5207471027"</f>
        <v>5207471027</v>
      </c>
      <c r="L2285" t="str">
        <f>"246"</f>
        <v>246</v>
      </c>
      <c r="M2285" t="str">
        <f>"5207470797"</f>
        <v>5207470797</v>
      </c>
      <c r="N2285" t="str">
        <f>""</f>
        <v/>
      </c>
      <c r="O2285" t="s">
        <v>7948</v>
      </c>
      <c r="P2285" t="s">
        <v>7945</v>
      </c>
      <c r="R2285" t="s">
        <v>4169</v>
      </c>
      <c r="S2285" t="s">
        <v>36</v>
      </c>
      <c r="T2285" t="str">
        <f>"85710"</f>
        <v>85710</v>
      </c>
      <c r="U2285" t="str">
        <f>""</f>
        <v/>
      </c>
      <c r="V2285" t="s">
        <v>7945</v>
      </c>
      <c r="X2285" t="s">
        <v>4169</v>
      </c>
      <c r="Y2285" t="s">
        <v>36</v>
      </c>
      <c r="Z2285" t="str">
        <f>"85710"</f>
        <v>85710</v>
      </c>
      <c r="AA2285" t="str">
        <f>""</f>
        <v/>
      </c>
      <c r="AB2285" t="s">
        <v>7418</v>
      </c>
    </row>
    <row r="2286" spans="1:28" x14ac:dyDescent="0.25">
      <c r="A2286">
        <v>92612</v>
      </c>
      <c r="B2286" t="str">
        <f>"014307000"</f>
        <v>014307000</v>
      </c>
      <c r="C2286" t="s">
        <v>7949</v>
      </c>
      <c r="D2286">
        <v>0</v>
      </c>
      <c r="E2286" t="str">
        <f>""</f>
        <v/>
      </c>
      <c r="G2286" t="s">
        <v>29</v>
      </c>
      <c r="H2286" t="s">
        <v>7950</v>
      </c>
      <c r="I2286" t="s">
        <v>7951</v>
      </c>
      <c r="J2286" t="s">
        <v>7952</v>
      </c>
      <c r="K2286" t="str">
        <f>"9286534457"</f>
        <v>9286534457</v>
      </c>
      <c r="L2286" t="str">
        <f>""</f>
        <v/>
      </c>
      <c r="M2286" t="str">
        <f>"9286534415"</f>
        <v>9286534415</v>
      </c>
      <c r="N2286" t="str">
        <f>""</f>
        <v/>
      </c>
      <c r="O2286" t="s">
        <v>7953</v>
      </c>
      <c r="P2286" t="s">
        <v>7954</v>
      </c>
      <c r="Q2286" t="s">
        <v>7955</v>
      </c>
      <c r="R2286" t="s">
        <v>183</v>
      </c>
      <c r="S2286" t="s">
        <v>36</v>
      </c>
      <c r="T2286" t="str">
        <f>"86544"</f>
        <v>86544</v>
      </c>
      <c r="U2286" t="str">
        <f>""</f>
        <v/>
      </c>
      <c r="V2286" t="s">
        <v>7954</v>
      </c>
      <c r="W2286" t="s">
        <v>7955</v>
      </c>
      <c r="X2286" t="s">
        <v>183</v>
      </c>
      <c r="Y2286" t="s">
        <v>36</v>
      </c>
      <c r="Z2286" t="str">
        <f>"86544"</f>
        <v>86544</v>
      </c>
      <c r="AA2286" t="str">
        <f>""</f>
        <v/>
      </c>
      <c r="AB2286" t="s">
        <v>516</v>
      </c>
    </row>
    <row r="2287" spans="1:28" x14ac:dyDescent="0.25">
      <c r="A2287">
        <v>92612</v>
      </c>
      <c r="B2287" t="str">
        <f>"014307000"</f>
        <v>014307000</v>
      </c>
      <c r="C2287" t="s">
        <v>7949</v>
      </c>
      <c r="D2287">
        <v>92614</v>
      </c>
      <c r="E2287" t="str">
        <f>"014307001"</f>
        <v>014307001</v>
      </c>
      <c r="F2287" t="s">
        <v>7949</v>
      </c>
      <c r="G2287" t="s">
        <v>42</v>
      </c>
      <c r="H2287" t="s">
        <v>7950</v>
      </c>
      <c r="I2287" t="s">
        <v>7951</v>
      </c>
      <c r="J2287" t="s">
        <v>7952</v>
      </c>
      <c r="K2287" t="str">
        <f>"9286534457"</f>
        <v>9286534457</v>
      </c>
      <c r="L2287" t="str">
        <f>""</f>
        <v/>
      </c>
      <c r="M2287" t="str">
        <f>"9286534415"</f>
        <v>9286534415</v>
      </c>
      <c r="N2287" t="str">
        <f>""</f>
        <v/>
      </c>
      <c r="O2287" t="s">
        <v>7953</v>
      </c>
      <c r="P2287" t="s">
        <v>7956</v>
      </c>
      <c r="Q2287" t="s">
        <v>7955</v>
      </c>
      <c r="R2287" t="s">
        <v>183</v>
      </c>
      <c r="S2287" t="s">
        <v>36</v>
      </c>
      <c r="T2287" t="str">
        <f>"86544"</f>
        <v>86544</v>
      </c>
      <c r="U2287" t="str">
        <f>""</f>
        <v/>
      </c>
      <c r="V2287" t="s">
        <v>7956</v>
      </c>
      <c r="W2287" t="s">
        <v>7955</v>
      </c>
      <c r="X2287" t="s">
        <v>183</v>
      </c>
      <c r="Y2287" t="s">
        <v>36</v>
      </c>
      <c r="Z2287" t="str">
        <f>"86544"</f>
        <v>86544</v>
      </c>
      <c r="AA2287" t="str">
        <f>""</f>
        <v/>
      </c>
      <c r="AB2287" t="s">
        <v>516</v>
      </c>
    </row>
    <row r="2288" spans="1:28" x14ac:dyDescent="0.25">
      <c r="A2288">
        <v>92613</v>
      </c>
      <c r="B2288" t="str">
        <f>"014308000"</f>
        <v>014308000</v>
      </c>
      <c r="C2288" t="s">
        <v>7957</v>
      </c>
      <c r="D2288">
        <v>0</v>
      </c>
      <c r="E2288" t="str">
        <f>""</f>
        <v/>
      </c>
      <c r="G2288" t="s">
        <v>29</v>
      </c>
      <c r="H2288" t="s">
        <v>1709</v>
      </c>
      <c r="I2288" t="s">
        <v>7958</v>
      </c>
      <c r="J2288" t="s">
        <v>6088</v>
      </c>
      <c r="K2288" t="str">
        <f>"9286563252"</f>
        <v>9286563252</v>
      </c>
      <c r="L2288" t="str">
        <f>"301"</f>
        <v>301</v>
      </c>
      <c r="M2288" t="str">
        <f>"9286563486"</f>
        <v>9286563486</v>
      </c>
      <c r="N2288" t="str">
        <f>""</f>
        <v/>
      </c>
      <c r="O2288" t="s">
        <v>7959</v>
      </c>
      <c r="P2288" t="s">
        <v>7960</v>
      </c>
      <c r="R2288" t="s">
        <v>155</v>
      </c>
      <c r="S2288" t="s">
        <v>36</v>
      </c>
      <c r="T2288" t="str">
        <f>"86514"</f>
        <v>86514</v>
      </c>
      <c r="U2288" t="str">
        <f>"2002"</f>
        <v>2002</v>
      </c>
      <c r="V2288" t="s">
        <v>7961</v>
      </c>
      <c r="X2288" t="s">
        <v>155</v>
      </c>
      <c r="Y2288" t="s">
        <v>36</v>
      </c>
      <c r="Z2288" t="str">
        <f>"86514"</f>
        <v>86514</v>
      </c>
      <c r="AA2288" t="str">
        <f>""</f>
        <v/>
      </c>
      <c r="AB2288" t="s">
        <v>56</v>
      </c>
    </row>
    <row r="2289" spans="1:28" x14ac:dyDescent="0.25">
      <c r="A2289">
        <v>92613</v>
      </c>
      <c r="B2289" t="str">
        <f>"014308000"</f>
        <v>014308000</v>
      </c>
      <c r="C2289" t="s">
        <v>7957</v>
      </c>
      <c r="D2289">
        <v>92615</v>
      </c>
      <c r="E2289" t="str">
        <f>"014308001"</f>
        <v>014308001</v>
      </c>
      <c r="F2289" t="s">
        <v>7957</v>
      </c>
      <c r="G2289" t="s">
        <v>42</v>
      </c>
      <c r="H2289" t="s">
        <v>1709</v>
      </c>
      <c r="I2289" t="s">
        <v>7958</v>
      </c>
      <c r="J2289" t="s">
        <v>6088</v>
      </c>
      <c r="K2289" t="str">
        <f>"9286563252"</f>
        <v>9286563252</v>
      </c>
      <c r="L2289" t="str">
        <f>"301"</f>
        <v>301</v>
      </c>
      <c r="M2289" t="str">
        <f>"9286563486"</f>
        <v>9286563486</v>
      </c>
      <c r="N2289" t="str">
        <f>""</f>
        <v/>
      </c>
      <c r="O2289" t="s">
        <v>7962</v>
      </c>
      <c r="P2289" t="s">
        <v>7960</v>
      </c>
      <c r="R2289" t="s">
        <v>155</v>
      </c>
      <c r="S2289" t="s">
        <v>36</v>
      </c>
      <c r="T2289" t="str">
        <f>"86514"</f>
        <v>86514</v>
      </c>
      <c r="U2289" t="str">
        <f>"2002"</f>
        <v>2002</v>
      </c>
      <c r="V2289" t="s">
        <v>7963</v>
      </c>
      <c r="X2289" t="s">
        <v>155</v>
      </c>
      <c r="Y2289" t="s">
        <v>36</v>
      </c>
      <c r="Z2289" t="str">
        <f>"86514"</f>
        <v>86514</v>
      </c>
      <c r="AA2289" t="str">
        <f>"2002"</f>
        <v>2002</v>
      </c>
      <c r="AB2289" t="s">
        <v>56</v>
      </c>
    </row>
    <row r="2290" spans="1:28" x14ac:dyDescent="0.25">
      <c r="A2290">
        <v>92648</v>
      </c>
      <c r="B2290" t="str">
        <f>"099110000"</f>
        <v>099110000</v>
      </c>
      <c r="C2290" t="s">
        <v>7964</v>
      </c>
      <c r="D2290">
        <v>0</v>
      </c>
      <c r="E2290" t="str">
        <f>""</f>
        <v/>
      </c>
      <c r="G2290" t="s">
        <v>29</v>
      </c>
      <c r="H2290" t="s">
        <v>693</v>
      </c>
      <c r="I2290" t="s">
        <v>7965</v>
      </c>
      <c r="J2290" t="s">
        <v>481</v>
      </c>
      <c r="K2290" t="str">
        <f>"9286866108"</f>
        <v>9286866108</v>
      </c>
      <c r="L2290" t="str">
        <f>"232"</f>
        <v>232</v>
      </c>
      <c r="M2290" t="str">
        <f>"9286866207"</f>
        <v>9286866207</v>
      </c>
      <c r="N2290" t="str">
        <f>""</f>
        <v/>
      </c>
      <c r="O2290" t="s">
        <v>7966</v>
      </c>
      <c r="P2290" t="s">
        <v>7967</v>
      </c>
      <c r="R2290" t="s">
        <v>3956</v>
      </c>
      <c r="S2290" t="s">
        <v>36</v>
      </c>
      <c r="T2290" t="str">
        <f>"86047"</f>
        <v>86047</v>
      </c>
      <c r="U2290" t="str">
        <f>""</f>
        <v/>
      </c>
      <c r="V2290" t="s">
        <v>7968</v>
      </c>
      <c r="W2290" t="s">
        <v>7969</v>
      </c>
      <c r="X2290" t="s">
        <v>3956</v>
      </c>
      <c r="Y2290" t="s">
        <v>36</v>
      </c>
      <c r="Z2290" t="str">
        <f>"86047"</f>
        <v>86047</v>
      </c>
      <c r="AA2290" t="str">
        <f>""</f>
        <v/>
      </c>
      <c r="AB2290" t="s">
        <v>56</v>
      </c>
    </row>
    <row r="2291" spans="1:28" x14ac:dyDescent="0.25">
      <c r="A2291">
        <v>92648</v>
      </c>
      <c r="B2291" t="str">
        <f>"099110000"</f>
        <v>099110000</v>
      </c>
      <c r="C2291" t="s">
        <v>7964</v>
      </c>
      <c r="D2291">
        <v>88064</v>
      </c>
      <c r="E2291" t="str">
        <f>"033904001"</f>
        <v>033904001</v>
      </c>
      <c r="F2291" t="s">
        <v>7970</v>
      </c>
      <c r="G2291" t="s">
        <v>42</v>
      </c>
      <c r="H2291" t="s">
        <v>4024</v>
      </c>
      <c r="I2291" t="s">
        <v>4916</v>
      </c>
      <c r="J2291" t="s">
        <v>3686</v>
      </c>
      <c r="K2291" t="str">
        <f>"9286866108"</f>
        <v>9286866108</v>
      </c>
      <c r="L2291" t="str">
        <f>"200"</f>
        <v>200</v>
      </c>
      <c r="M2291" t="str">
        <f>"9286866207"</f>
        <v>9286866207</v>
      </c>
      <c r="N2291" t="str">
        <f>""</f>
        <v/>
      </c>
      <c r="O2291" t="s">
        <v>7971</v>
      </c>
      <c r="P2291" t="s">
        <v>7967</v>
      </c>
      <c r="R2291" t="s">
        <v>3956</v>
      </c>
      <c r="S2291" t="s">
        <v>36</v>
      </c>
      <c r="T2291" t="str">
        <f>"86047"</f>
        <v>86047</v>
      </c>
      <c r="U2291" t="str">
        <f>""</f>
        <v/>
      </c>
      <c r="V2291" t="s">
        <v>7968</v>
      </c>
      <c r="W2291" t="s">
        <v>7969</v>
      </c>
      <c r="X2291" t="s">
        <v>3956</v>
      </c>
      <c r="Y2291" t="s">
        <v>36</v>
      </c>
      <c r="Z2291" t="str">
        <f>"86047"</f>
        <v>86047</v>
      </c>
      <c r="AA2291" t="str">
        <f>""</f>
        <v/>
      </c>
      <c r="AB2291" t="s">
        <v>56</v>
      </c>
    </row>
    <row r="2292" spans="1:28" x14ac:dyDescent="0.25">
      <c r="A2292">
        <v>92725</v>
      </c>
      <c r="B2292" t="str">
        <f>"072796000"</f>
        <v>072796000</v>
      </c>
      <c r="C2292" t="s">
        <v>7972</v>
      </c>
      <c r="D2292">
        <v>0</v>
      </c>
      <c r="E2292" t="str">
        <f>""</f>
        <v/>
      </c>
      <c r="G2292" t="s">
        <v>29</v>
      </c>
      <c r="H2292" t="s">
        <v>943</v>
      </c>
      <c r="I2292" t="s">
        <v>7973</v>
      </c>
      <c r="J2292" t="s">
        <v>202</v>
      </c>
      <c r="K2292" t="str">
        <f>"6023322170"</f>
        <v>6023322170</v>
      </c>
      <c r="L2292" t="str">
        <f>""</f>
        <v/>
      </c>
      <c r="M2292" t="str">
        <f>"6027308710"</f>
        <v>6027308710</v>
      </c>
      <c r="N2292" t="str">
        <f>""</f>
        <v/>
      </c>
      <c r="O2292" t="s">
        <v>7974</v>
      </c>
      <c r="P2292" t="s">
        <v>7975</v>
      </c>
      <c r="R2292" t="s">
        <v>1173</v>
      </c>
      <c r="S2292" t="s">
        <v>36</v>
      </c>
      <c r="T2292" t="str">
        <f>"85308"</f>
        <v>85308</v>
      </c>
      <c r="U2292" t="str">
        <f>""</f>
        <v/>
      </c>
      <c r="V2292" t="s">
        <v>7976</v>
      </c>
      <c r="X2292" t="s">
        <v>964</v>
      </c>
      <c r="Y2292" t="s">
        <v>36</v>
      </c>
      <c r="Z2292" t="str">
        <f>"85022"</f>
        <v>85022</v>
      </c>
      <c r="AA2292" t="str">
        <f>""</f>
        <v/>
      </c>
      <c r="AB2292" t="s">
        <v>2345</v>
      </c>
    </row>
    <row r="2293" spans="1:28" x14ac:dyDescent="0.25">
      <c r="A2293">
        <v>92725</v>
      </c>
      <c r="B2293" t="str">
        <f>"072796000"</f>
        <v>072796000</v>
      </c>
      <c r="C2293" t="s">
        <v>7972</v>
      </c>
      <c r="D2293">
        <v>92726</v>
      </c>
      <c r="E2293" t="str">
        <f>"072796001"</f>
        <v>072796001</v>
      </c>
      <c r="F2293" t="s">
        <v>7977</v>
      </c>
      <c r="G2293" t="s">
        <v>42</v>
      </c>
      <c r="H2293" t="s">
        <v>6510</v>
      </c>
      <c r="I2293" t="s">
        <v>7978</v>
      </c>
      <c r="J2293" t="s">
        <v>926</v>
      </c>
      <c r="K2293" t="str">
        <f>"6026533143"</f>
        <v>6026533143</v>
      </c>
      <c r="L2293" t="str">
        <f>""</f>
        <v/>
      </c>
      <c r="M2293" t="str">
        <f>"6027308710"</f>
        <v>6027308710</v>
      </c>
      <c r="N2293" t="str">
        <f>""</f>
        <v/>
      </c>
      <c r="O2293" t="s">
        <v>7974</v>
      </c>
      <c r="P2293" t="s">
        <v>7975</v>
      </c>
      <c r="R2293" t="s">
        <v>1173</v>
      </c>
      <c r="S2293" t="s">
        <v>36</v>
      </c>
      <c r="T2293" t="str">
        <f>"85308"</f>
        <v>85308</v>
      </c>
      <c r="U2293" t="str">
        <f>""</f>
        <v/>
      </c>
      <c r="V2293" t="s">
        <v>7979</v>
      </c>
      <c r="X2293" t="s">
        <v>3520</v>
      </c>
      <c r="Y2293" t="s">
        <v>36</v>
      </c>
      <c r="Z2293" t="str">
        <f>"85022"</f>
        <v>85022</v>
      </c>
      <c r="AA2293" t="str">
        <f>""</f>
        <v/>
      </c>
      <c r="AB2293" t="s">
        <v>2345</v>
      </c>
    </row>
    <row r="2294" spans="1:28" x14ac:dyDescent="0.25">
      <c r="A2294">
        <v>92725</v>
      </c>
      <c r="B2294" t="str">
        <f>"072796000"</f>
        <v>072796000</v>
      </c>
      <c r="C2294" t="s">
        <v>7972</v>
      </c>
      <c r="D2294">
        <v>92727</v>
      </c>
      <c r="E2294" t="str">
        <f>"072796002"</f>
        <v>072796002</v>
      </c>
      <c r="F2294" t="s">
        <v>7980</v>
      </c>
      <c r="G2294" t="s">
        <v>42</v>
      </c>
      <c r="H2294" t="s">
        <v>6510</v>
      </c>
      <c r="I2294" t="s">
        <v>7978</v>
      </c>
      <c r="J2294" t="s">
        <v>926</v>
      </c>
      <c r="K2294" t="str">
        <f>"6026533143"</f>
        <v>6026533143</v>
      </c>
      <c r="L2294" t="str">
        <f>""</f>
        <v/>
      </c>
      <c r="M2294" t="str">
        <f>"6025958420"</f>
        <v>6025958420</v>
      </c>
      <c r="N2294" t="str">
        <f>""</f>
        <v/>
      </c>
      <c r="O2294" t="s">
        <v>7974</v>
      </c>
      <c r="P2294" t="s">
        <v>7981</v>
      </c>
      <c r="R2294" t="s">
        <v>964</v>
      </c>
      <c r="S2294" t="s">
        <v>36</v>
      </c>
      <c r="T2294" t="str">
        <f>"85053"</f>
        <v>85053</v>
      </c>
      <c r="U2294" t="str">
        <f>""</f>
        <v/>
      </c>
      <c r="V2294" t="s">
        <v>7981</v>
      </c>
      <c r="X2294" t="s">
        <v>964</v>
      </c>
      <c r="Y2294" t="s">
        <v>36</v>
      </c>
      <c r="Z2294" t="str">
        <f>"85053"</f>
        <v>85053</v>
      </c>
      <c r="AA2294" t="str">
        <f>""</f>
        <v/>
      </c>
      <c r="AB2294" t="s">
        <v>2345</v>
      </c>
    </row>
    <row r="2295" spans="1:28" x14ac:dyDescent="0.25">
      <c r="A2295">
        <v>92725</v>
      </c>
      <c r="B2295" t="str">
        <f>"072796000"</f>
        <v>072796000</v>
      </c>
      <c r="C2295" t="s">
        <v>7972</v>
      </c>
      <c r="D2295">
        <v>92728</v>
      </c>
      <c r="E2295" t="str">
        <f>"072796003"</f>
        <v>072796003</v>
      </c>
      <c r="F2295" t="s">
        <v>7982</v>
      </c>
      <c r="G2295" t="s">
        <v>42</v>
      </c>
      <c r="H2295" t="s">
        <v>7983</v>
      </c>
      <c r="I2295" t="s">
        <v>925</v>
      </c>
      <c r="J2295" t="s">
        <v>926</v>
      </c>
      <c r="K2295" t="str">
        <f>"6026322463"</f>
        <v>6026322463</v>
      </c>
      <c r="L2295" t="str">
        <f>""</f>
        <v/>
      </c>
      <c r="M2295" t="str">
        <f>"6025958420"</f>
        <v>6025958420</v>
      </c>
      <c r="N2295" t="str">
        <f>""</f>
        <v/>
      </c>
      <c r="O2295" t="s">
        <v>7974</v>
      </c>
      <c r="P2295" t="s">
        <v>7984</v>
      </c>
      <c r="R2295" t="s">
        <v>964</v>
      </c>
      <c r="S2295" t="s">
        <v>36</v>
      </c>
      <c r="T2295" t="str">
        <f>"85053"</f>
        <v>85053</v>
      </c>
      <c r="U2295" t="str">
        <f>""</f>
        <v/>
      </c>
      <c r="V2295" t="s">
        <v>7984</v>
      </c>
      <c r="X2295" t="s">
        <v>964</v>
      </c>
      <c r="Y2295" t="s">
        <v>36</v>
      </c>
      <c r="Z2295" t="str">
        <f>"85053"</f>
        <v>85053</v>
      </c>
      <c r="AA2295" t="str">
        <f>""</f>
        <v/>
      </c>
      <c r="AB2295" t="s">
        <v>2345</v>
      </c>
    </row>
    <row r="2296" spans="1:28" x14ac:dyDescent="0.25">
      <c r="A2296">
        <v>92725</v>
      </c>
      <c r="B2296" t="str">
        <f>"072796000"</f>
        <v>072796000</v>
      </c>
      <c r="C2296" t="s">
        <v>7972</v>
      </c>
      <c r="D2296">
        <v>92992</v>
      </c>
      <c r="E2296" t="str">
        <f>"072796004"</f>
        <v>072796004</v>
      </c>
      <c r="F2296" t="s">
        <v>7985</v>
      </c>
      <c r="G2296" t="s">
        <v>42</v>
      </c>
      <c r="H2296" t="s">
        <v>7983</v>
      </c>
      <c r="I2296" t="s">
        <v>925</v>
      </c>
      <c r="J2296" t="s">
        <v>926</v>
      </c>
      <c r="K2296" t="str">
        <f>"6026533143"</f>
        <v>6026533143</v>
      </c>
      <c r="L2296" t="str">
        <f>""</f>
        <v/>
      </c>
      <c r="M2296" t="str">
        <f>"6027308710"</f>
        <v>6027308710</v>
      </c>
      <c r="N2296" t="str">
        <f>""</f>
        <v/>
      </c>
      <c r="O2296" t="s">
        <v>7974</v>
      </c>
      <c r="P2296" t="s">
        <v>7986</v>
      </c>
      <c r="R2296" t="s">
        <v>964</v>
      </c>
      <c r="S2296" t="s">
        <v>36</v>
      </c>
      <c r="T2296" t="str">
        <f>"85053"</f>
        <v>85053</v>
      </c>
      <c r="U2296" t="str">
        <f>""</f>
        <v/>
      </c>
      <c r="V2296" t="s">
        <v>7986</v>
      </c>
      <c r="X2296" t="s">
        <v>964</v>
      </c>
      <c r="Y2296" t="s">
        <v>36</v>
      </c>
      <c r="Z2296" t="str">
        <f>"85053"</f>
        <v>85053</v>
      </c>
      <c r="AA2296" t="str">
        <f>""</f>
        <v/>
      </c>
      <c r="AB2296" t="s">
        <v>2345</v>
      </c>
    </row>
    <row r="2297" spans="1:28" x14ac:dyDescent="0.25">
      <c r="A2297">
        <v>92768</v>
      </c>
      <c r="B2297" t="str">
        <f>"078270000"</f>
        <v>078270000</v>
      </c>
      <c r="C2297" t="s">
        <v>6680</v>
      </c>
      <c r="D2297">
        <v>0</v>
      </c>
      <c r="E2297" t="str">
        <f>""</f>
        <v/>
      </c>
      <c r="G2297" t="s">
        <v>29</v>
      </c>
      <c r="H2297" t="s">
        <v>943</v>
      </c>
      <c r="I2297" t="s">
        <v>6681</v>
      </c>
      <c r="J2297" t="s">
        <v>6682</v>
      </c>
      <c r="K2297" t="str">
        <f>"5208875392"</f>
        <v>5208875392</v>
      </c>
      <c r="L2297" t="str">
        <f>""</f>
        <v/>
      </c>
      <c r="M2297" t="str">
        <f>""</f>
        <v/>
      </c>
      <c r="N2297" t="str">
        <f>""</f>
        <v/>
      </c>
      <c r="O2297" t="s">
        <v>6683</v>
      </c>
      <c r="P2297" t="s">
        <v>7987</v>
      </c>
      <c r="R2297" t="s">
        <v>964</v>
      </c>
      <c r="S2297" t="s">
        <v>36</v>
      </c>
      <c r="T2297" t="str">
        <f>"85017"</f>
        <v>85017</v>
      </c>
      <c r="U2297" t="str">
        <f>""</f>
        <v/>
      </c>
      <c r="V2297" t="s">
        <v>7987</v>
      </c>
      <c r="X2297" t="s">
        <v>964</v>
      </c>
      <c r="Y2297" t="s">
        <v>36</v>
      </c>
      <c r="Z2297" t="str">
        <f>"85017"</f>
        <v>85017</v>
      </c>
      <c r="AA2297" t="str">
        <f>""</f>
        <v/>
      </c>
      <c r="AB2297" t="s">
        <v>821</v>
      </c>
    </row>
    <row r="2298" spans="1:28" x14ac:dyDescent="0.25">
      <c r="A2298">
        <v>92768</v>
      </c>
      <c r="B2298" t="str">
        <f>"078270000"</f>
        <v>078270000</v>
      </c>
      <c r="C2298" t="s">
        <v>6680</v>
      </c>
      <c r="D2298">
        <v>92769</v>
      </c>
      <c r="E2298" t="str">
        <f>"078270001"</f>
        <v>078270001</v>
      </c>
      <c r="F2298" t="s">
        <v>7988</v>
      </c>
      <c r="G2298" t="s">
        <v>42</v>
      </c>
      <c r="H2298" t="s">
        <v>7989</v>
      </c>
      <c r="I2298" t="s">
        <v>7990</v>
      </c>
      <c r="J2298" t="s">
        <v>5661</v>
      </c>
      <c r="K2298" t="str">
        <f>"6235475587"</f>
        <v>6235475587</v>
      </c>
      <c r="L2298" t="str">
        <f>""</f>
        <v/>
      </c>
      <c r="M2298" t="str">
        <f>"6235948078"</f>
        <v>6235948078</v>
      </c>
      <c r="N2298" t="str">
        <f>""</f>
        <v/>
      </c>
      <c r="O2298" t="s">
        <v>7991</v>
      </c>
      <c r="P2298" t="s">
        <v>7987</v>
      </c>
      <c r="R2298" t="s">
        <v>964</v>
      </c>
      <c r="S2298" t="s">
        <v>36</v>
      </c>
      <c r="T2298" t="str">
        <f>"85033"</f>
        <v>85033</v>
      </c>
      <c r="U2298" t="str">
        <f>""</f>
        <v/>
      </c>
      <c r="V2298" t="s">
        <v>7987</v>
      </c>
      <c r="X2298" t="s">
        <v>964</v>
      </c>
      <c r="Y2298" t="s">
        <v>36</v>
      </c>
      <c r="Z2298" t="str">
        <f>"85033"</f>
        <v>85033</v>
      </c>
      <c r="AA2298" t="str">
        <f>""</f>
        <v/>
      </c>
      <c r="AB2298" t="s">
        <v>821</v>
      </c>
    </row>
    <row r="2299" spans="1:28" x14ac:dyDescent="0.25">
      <c r="A2299">
        <v>92902</v>
      </c>
      <c r="B2299" t="str">
        <f>"078275000"</f>
        <v>078275000</v>
      </c>
      <c r="C2299" t="s">
        <v>7992</v>
      </c>
      <c r="D2299">
        <v>0</v>
      </c>
      <c r="E2299" t="str">
        <f>""</f>
        <v/>
      </c>
      <c r="G2299" t="s">
        <v>29</v>
      </c>
      <c r="H2299" t="s">
        <v>3722</v>
      </c>
      <c r="I2299" t="s">
        <v>394</v>
      </c>
      <c r="J2299" t="s">
        <v>32</v>
      </c>
      <c r="K2299" t="str">
        <f>"6027257971"</f>
        <v>6027257971</v>
      </c>
      <c r="L2299" t="str">
        <f>""</f>
        <v/>
      </c>
      <c r="M2299" t="str">
        <f>"6022437799"</f>
        <v>6022437799</v>
      </c>
      <c r="N2299" t="str">
        <f>""</f>
        <v/>
      </c>
      <c r="O2299" t="s">
        <v>3723</v>
      </c>
      <c r="P2299" t="s">
        <v>3724</v>
      </c>
      <c r="R2299" t="s">
        <v>964</v>
      </c>
      <c r="S2299" t="s">
        <v>36</v>
      </c>
      <c r="T2299" t="str">
        <f>"85040"</f>
        <v>85040</v>
      </c>
      <c r="U2299" t="str">
        <f>""</f>
        <v/>
      </c>
      <c r="V2299" t="s">
        <v>3724</v>
      </c>
      <c r="X2299" t="s">
        <v>964</v>
      </c>
      <c r="Y2299" t="s">
        <v>36</v>
      </c>
      <c r="Z2299" t="str">
        <f>"85040"</f>
        <v>85040</v>
      </c>
      <c r="AA2299" t="str">
        <f>""</f>
        <v/>
      </c>
      <c r="AB2299" t="s">
        <v>516</v>
      </c>
    </row>
    <row r="2300" spans="1:28" x14ac:dyDescent="0.25">
      <c r="A2300">
        <v>92902</v>
      </c>
      <c r="B2300" t="str">
        <f>"078275000"</f>
        <v>078275000</v>
      </c>
      <c r="C2300" t="s">
        <v>7992</v>
      </c>
      <c r="D2300">
        <v>92903</v>
      </c>
      <c r="E2300" t="str">
        <f>"078275001"</f>
        <v>078275001</v>
      </c>
      <c r="F2300" t="s">
        <v>7993</v>
      </c>
      <c r="G2300" t="s">
        <v>42</v>
      </c>
      <c r="H2300" t="s">
        <v>7994</v>
      </c>
      <c r="I2300" t="s">
        <v>394</v>
      </c>
      <c r="J2300" t="s">
        <v>32</v>
      </c>
      <c r="K2300" t="str">
        <f>"6027257971"</f>
        <v>6027257971</v>
      </c>
      <c r="L2300" t="str">
        <f>""</f>
        <v/>
      </c>
      <c r="M2300" t="str">
        <f>"6022437799"</f>
        <v>6022437799</v>
      </c>
      <c r="N2300" t="str">
        <f>""</f>
        <v/>
      </c>
      <c r="O2300" t="s">
        <v>3723</v>
      </c>
      <c r="P2300" t="s">
        <v>3724</v>
      </c>
      <c r="R2300" t="s">
        <v>964</v>
      </c>
      <c r="S2300" t="s">
        <v>36</v>
      </c>
      <c r="T2300" t="str">
        <f>"85040"</f>
        <v>85040</v>
      </c>
      <c r="U2300" t="str">
        <f>""</f>
        <v/>
      </c>
      <c r="V2300" t="s">
        <v>3724</v>
      </c>
      <c r="X2300" t="s">
        <v>964</v>
      </c>
      <c r="Y2300" t="s">
        <v>36</v>
      </c>
      <c r="Z2300" t="str">
        <f>"85040"</f>
        <v>85040</v>
      </c>
      <c r="AA2300" t="str">
        <f>""</f>
        <v/>
      </c>
      <c r="AB2300" t="s">
        <v>516</v>
      </c>
    </row>
    <row r="2301" spans="1:28" x14ac:dyDescent="0.25">
      <c r="A2301">
        <v>92972</v>
      </c>
      <c r="B2301" t="str">
        <f>"078238000"</f>
        <v>078238000</v>
      </c>
      <c r="C2301" t="s">
        <v>7995</v>
      </c>
      <c r="D2301">
        <v>0</v>
      </c>
      <c r="E2301" t="str">
        <f>""</f>
        <v/>
      </c>
      <c r="G2301" t="s">
        <v>29</v>
      </c>
      <c r="H2301" t="s">
        <v>7996</v>
      </c>
      <c r="I2301" t="s">
        <v>110</v>
      </c>
      <c r="J2301" t="s">
        <v>7880</v>
      </c>
      <c r="K2301" t="str">
        <f>"6023834013"</f>
        <v>6023834013</v>
      </c>
      <c r="L2301" t="str">
        <f>""</f>
        <v/>
      </c>
      <c r="M2301" t="str">
        <f>"8888582737"</f>
        <v>8888582737</v>
      </c>
      <c r="N2301" t="str">
        <f>""</f>
        <v/>
      </c>
      <c r="O2301" t="s">
        <v>7997</v>
      </c>
      <c r="P2301" t="s">
        <v>7998</v>
      </c>
      <c r="R2301" t="s">
        <v>964</v>
      </c>
      <c r="S2301" t="s">
        <v>36</v>
      </c>
      <c r="T2301" t="str">
        <f>"85015"</f>
        <v>85015</v>
      </c>
      <c r="U2301" t="str">
        <f>""</f>
        <v/>
      </c>
      <c r="V2301" t="s">
        <v>7998</v>
      </c>
      <c r="X2301" t="s">
        <v>964</v>
      </c>
      <c r="Y2301" t="s">
        <v>36</v>
      </c>
      <c r="Z2301" t="str">
        <f>"85015"</f>
        <v>85015</v>
      </c>
      <c r="AA2301" t="str">
        <f>""</f>
        <v/>
      </c>
      <c r="AB2301" t="s">
        <v>217</v>
      </c>
    </row>
    <row r="2302" spans="1:28" x14ac:dyDescent="0.25">
      <c r="A2302">
        <v>92972</v>
      </c>
      <c r="B2302" t="str">
        <f>"078238000"</f>
        <v>078238000</v>
      </c>
      <c r="C2302" t="s">
        <v>7995</v>
      </c>
      <c r="D2302">
        <v>126443</v>
      </c>
      <c r="E2302" t="str">
        <f>"078238001"</f>
        <v>078238001</v>
      </c>
      <c r="F2302" t="s">
        <v>7995</v>
      </c>
      <c r="G2302" t="s">
        <v>42</v>
      </c>
      <c r="H2302" t="s">
        <v>3615</v>
      </c>
      <c r="I2302" t="s">
        <v>824</v>
      </c>
      <c r="J2302" t="s">
        <v>3734</v>
      </c>
      <c r="K2302" t="str">
        <f>"6023834013"</f>
        <v>6023834013</v>
      </c>
      <c r="L2302" t="str">
        <f>""</f>
        <v/>
      </c>
      <c r="M2302" t="str">
        <f>"8888582737"</f>
        <v>8888582737</v>
      </c>
      <c r="N2302" t="str">
        <f>""</f>
        <v/>
      </c>
      <c r="O2302" t="s">
        <v>7999</v>
      </c>
      <c r="P2302" t="s">
        <v>7998</v>
      </c>
      <c r="R2302" t="s">
        <v>964</v>
      </c>
      <c r="S2302" t="s">
        <v>36</v>
      </c>
      <c r="T2302" t="str">
        <f>"85015"</f>
        <v>85015</v>
      </c>
      <c r="U2302" t="str">
        <f>""</f>
        <v/>
      </c>
      <c r="V2302" t="s">
        <v>7998</v>
      </c>
      <c r="X2302" t="s">
        <v>964</v>
      </c>
      <c r="Y2302" t="s">
        <v>36</v>
      </c>
      <c r="Z2302" t="str">
        <f>"85015"</f>
        <v>85015</v>
      </c>
      <c r="AA2302" t="str">
        <f>""</f>
        <v/>
      </c>
      <c r="AB2302" t="s">
        <v>217</v>
      </c>
    </row>
    <row r="2303" spans="1:28" x14ac:dyDescent="0.25">
      <c r="A2303">
        <v>92976</v>
      </c>
      <c r="B2303" t="str">
        <f>"078411000"</f>
        <v>078411000</v>
      </c>
      <c r="C2303" t="s">
        <v>8000</v>
      </c>
      <c r="D2303">
        <v>0</v>
      </c>
      <c r="E2303" t="str">
        <f>""</f>
        <v/>
      </c>
      <c r="G2303" t="s">
        <v>29</v>
      </c>
      <c r="H2303" t="s">
        <v>549</v>
      </c>
      <c r="I2303" t="s">
        <v>8001</v>
      </c>
      <c r="J2303" t="s">
        <v>6345</v>
      </c>
      <c r="K2303" t="str">
        <f>"6232334523"</f>
        <v>6232334523</v>
      </c>
      <c r="L2303" t="str">
        <f>""</f>
        <v/>
      </c>
      <c r="M2303" t="str">
        <f>""</f>
        <v/>
      </c>
      <c r="N2303" t="str">
        <f>""</f>
        <v/>
      </c>
      <c r="O2303" t="s">
        <v>8002</v>
      </c>
      <c r="P2303" t="s">
        <v>8003</v>
      </c>
      <c r="R2303" t="s">
        <v>964</v>
      </c>
      <c r="S2303" t="s">
        <v>36</v>
      </c>
      <c r="T2303" t="str">
        <f>"85017"</f>
        <v>85017</v>
      </c>
      <c r="U2303" t="str">
        <f>""</f>
        <v/>
      </c>
      <c r="V2303" t="s">
        <v>8003</v>
      </c>
      <c r="X2303" t="s">
        <v>964</v>
      </c>
      <c r="Y2303" t="s">
        <v>36</v>
      </c>
      <c r="Z2303" t="str">
        <f>"85017"</f>
        <v>85017</v>
      </c>
      <c r="AA2303" t="str">
        <f>""</f>
        <v/>
      </c>
      <c r="AB2303" t="s">
        <v>508</v>
      </c>
    </row>
    <row r="2304" spans="1:28" x14ac:dyDescent="0.25">
      <c r="A2304">
        <v>92976</v>
      </c>
      <c r="B2304" t="str">
        <f>"078411000"</f>
        <v>078411000</v>
      </c>
      <c r="C2304" t="s">
        <v>8000</v>
      </c>
      <c r="D2304">
        <v>1000047</v>
      </c>
      <c r="E2304" t="str">
        <f>"078411201"</f>
        <v>078411201</v>
      </c>
      <c r="F2304" t="s">
        <v>8000</v>
      </c>
      <c r="G2304" t="s">
        <v>42</v>
      </c>
      <c r="H2304" t="s">
        <v>549</v>
      </c>
      <c r="I2304" t="s">
        <v>8001</v>
      </c>
      <c r="J2304" t="s">
        <v>6345</v>
      </c>
      <c r="K2304" t="str">
        <f>"6232334523"</f>
        <v>6232334523</v>
      </c>
      <c r="L2304" t="str">
        <f>""</f>
        <v/>
      </c>
      <c r="M2304" t="str">
        <f>""</f>
        <v/>
      </c>
      <c r="N2304" t="str">
        <f>""</f>
        <v/>
      </c>
      <c r="O2304" t="s">
        <v>8002</v>
      </c>
      <c r="P2304" t="s">
        <v>8003</v>
      </c>
      <c r="R2304" t="s">
        <v>964</v>
      </c>
      <c r="S2304" t="s">
        <v>36</v>
      </c>
      <c r="T2304" t="str">
        <f>"85017"</f>
        <v>85017</v>
      </c>
      <c r="U2304" t="str">
        <f>""</f>
        <v/>
      </c>
      <c r="V2304" t="s">
        <v>8003</v>
      </c>
      <c r="X2304" t="s">
        <v>964</v>
      </c>
      <c r="Y2304" t="s">
        <v>36</v>
      </c>
      <c r="Z2304" t="str">
        <f>"85017"</f>
        <v>85017</v>
      </c>
      <c r="AA2304" t="str">
        <f>""</f>
        <v/>
      </c>
      <c r="AB2304" t="s">
        <v>508</v>
      </c>
    </row>
    <row r="2305" spans="1:28" x14ac:dyDescent="0.25">
      <c r="A2305">
        <v>92978</v>
      </c>
      <c r="B2305" t="str">
        <f>"118717000"</f>
        <v>118717000</v>
      </c>
      <c r="C2305" t="s">
        <v>8004</v>
      </c>
      <c r="D2305">
        <v>0</v>
      </c>
      <c r="E2305" t="str">
        <f>""</f>
        <v/>
      </c>
      <c r="G2305" t="s">
        <v>29</v>
      </c>
      <c r="H2305" t="s">
        <v>2182</v>
      </c>
      <c r="I2305" t="s">
        <v>1590</v>
      </c>
      <c r="J2305" t="s">
        <v>8005</v>
      </c>
      <c r="K2305" t="str">
        <f>"5203812360"</f>
        <v>5203812360</v>
      </c>
      <c r="L2305" t="str">
        <f>""</f>
        <v/>
      </c>
      <c r="M2305" t="str">
        <f>""</f>
        <v/>
      </c>
      <c r="N2305" t="str">
        <f>""</f>
        <v/>
      </c>
      <c r="O2305" t="s">
        <v>8006</v>
      </c>
      <c r="P2305" t="s">
        <v>8007</v>
      </c>
      <c r="R2305" t="s">
        <v>4738</v>
      </c>
      <c r="S2305" t="s">
        <v>36</v>
      </c>
      <c r="T2305" t="str">
        <f>"85122"</f>
        <v>85122</v>
      </c>
      <c r="U2305" t="str">
        <f>""</f>
        <v/>
      </c>
      <c r="V2305" t="s">
        <v>8007</v>
      </c>
      <c r="X2305" t="s">
        <v>4738</v>
      </c>
      <c r="Y2305" t="s">
        <v>36</v>
      </c>
      <c r="Z2305" t="str">
        <f>"85122"</f>
        <v>85122</v>
      </c>
      <c r="AA2305" t="str">
        <f>""</f>
        <v/>
      </c>
      <c r="AB2305" t="s">
        <v>156</v>
      </c>
    </row>
    <row r="2306" spans="1:28" x14ac:dyDescent="0.25">
      <c r="A2306">
        <v>92978</v>
      </c>
      <c r="B2306" t="str">
        <f>"118717000"</f>
        <v>118717000</v>
      </c>
      <c r="C2306" t="s">
        <v>8004</v>
      </c>
      <c r="D2306">
        <v>649230</v>
      </c>
      <c r="E2306" t="str">
        <f>"118717001"</f>
        <v>118717001</v>
      </c>
      <c r="F2306" t="s">
        <v>8008</v>
      </c>
      <c r="G2306" t="s">
        <v>42</v>
      </c>
      <c r="H2306" t="s">
        <v>2182</v>
      </c>
      <c r="I2306" t="s">
        <v>1590</v>
      </c>
      <c r="J2306" t="s">
        <v>8005</v>
      </c>
      <c r="K2306" t="str">
        <f>"5203812360"</f>
        <v>5203812360</v>
      </c>
      <c r="L2306" t="str">
        <f>""</f>
        <v/>
      </c>
      <c r="M2306" t="str">
        <f>""</f>
        <v/>
      </c>
      <c r="N2306" t="str">
        <f>""</f>
        <v/>
      </c>
      <c r="O2306" t="s">
        <v>8006</v>
      </c>
      <c r="P2306" t="s">
        <v>8009</v>
      </c>
      <c r="R2306" t="s">
        <v>4738</v>
      </c>
      <c r="S2306" t="s">
        <v>36</v>
      </c>
      <c r="T2306" t="str">
        <f>"85122"</f>
        <v>85122</v>
      </c>
      <c r="U2306" t="str">
        <f>""</f>
        <v/>
      </c>
      <c r="V2306" t="s">
        <v>8009</v>
      </c>
      <c r="X2306" t="s">
        <v>4738</v>
      </c>
      <c r="Y2306" t="s">
        <v>36</v>
      </c>
      <c r="Z2306" t="str">
        <f>"85122"</f>
        <v>85122</v>
      </c>
      <c r="AA2306" t="str">
        <f>""</f>
        <v/>
      </c>
      <c r="AB2306" t="s">
        <v>156</v>
      </c>
    </row>
    <row r="2307" spans="1:28" x14ac:dyDescent="0.25">
      <c r="A2307">
        <v>92981</v>
      </c>
      <c r="B2307" t="str">
        <f>"078237000"</f>
        <v>078237000</v>
      </c>
      <c r="C2307" t="s">
        <v>8010</v>
      </c>
      <c r="D2307">
        <v>0</v>
      </c>
      <c r="E2307" t="str">
        <f>""</f>
        <v/>
      </c>
      <c r="G2307" t="s">
        <v>29</v>
      </c>
      <c r="H2307" t="s">
        <v>4851</v>
      </c>
      <c r="I2307" t="s">
        <v>8011</v>
      </c>
      <c r="J2307" t="s">
        <v>6805</v>
      </c>
      <c r="K2307" t="str">
        <f>"4804161070"</f>
        <v>4804161070</v>
      </c>
      <c r="L2307" t="str">
        <f>""</f>
        <v/>
      </c>
      <c r="M2307" t="str">
        <f>""</f>
        <v/>
      </c>
      <c r="N2307" t="str">
        <f>""</f>
        <v/>
      </c>
      <c r="O2307" t="s">
        <v>8012</v>
      </c>
      <c r="P2307" t="s">
        <v>8013</v>
      </c>
      <c r="R2307" t="s">
        <v>964</v>
      </c>
      <c r="S2307" t="s">
        <v>36</v>
      </c>
      <c r="T2307" t="str">
        <f>"85017"</f>
        <v>85017</v>
      </c>
      <c r="U2307" t="str">
        <f>""</f>
        <v/>
      </c>
      <c r="V2307" t="s">
        <v>8013</v>
      </c>
      <c r="X2307" t="s">
        <v>964</v>
      </c>
      <c r="Y2307" t="s">
        <v>36</v>
      </c>
      <c r="Z2307" t="str">
        <f>"85017"</f>
        <v>85017</v>
      </c>
      <c r="AA2307" t="str">
        <f>""</f>
        <v/>
      </c>
      <c r="AB2307" t="s">
        <v>2345</v>
      </c>
    </row>
    <row r="2308" spans="1:28" x14ac:dyDescent="0.25">
      <c r="A2308">
        <v>92981</v>
      </c>
      <c r="B2308" t="str">
        <f>"078237000"</f>
        <v>078237000</v>
      </c>
      <c r="C2308" t="s">
        <v>8010</v>
      </c>
      <c r="D2308">
        <v>962403</v>
      </c>
      <c r="E2308" t="str">
        <f>"078237001"</f>
        <v>078237001</v>
      </c>
      <c r="F2308" t="s">
        <v>8014</v>
      </c>
      <c r="G2308" t="s">
        <v>42</v>
      </c>
      <c r="H2308" t="s">
        <v>896</v>
      </c>
      <c r="I2308" t="s">
        <v>6220</v>
      </c>
      <c r="J2308" t="s">
        <v>6805</v>
      </c>
      <c r="K2308" t="str">
        <f>"4804161070"</f>
        <v>4804161070</v>
      </c>
      <c r="L2308" t="str">
        <f>""</f>
        <v/>
      </c>
      <c r="M2308" t="str">
        <f>""</f>
        <v/>
      </c>
      <c r="N2308" t="str">
        <f>""</f>
        <v/>
      </c>
      <c r="O2308" t="s">
        <v>8015</v>
      </c>
      <c r="P2308" t="s">
        <v>8016</v>
      </c>
      <c r="R2308" t="s">
        <v>964</v>
      </c>
      <c r="S2308" t="s">
        <v>36</v>
      </c>
      <c r="T2308" t="str">
        <f>"85017"</f>
        <v>85017</v>
      </c>
      <c r="U2308" t="str">
        <f>""</f>
        <v/>
      </c>
      <c r="V2308" t="s">
        <v>8016</v>
      </c>
      <c r="X2308" t="s">
        <v>964</v>
      </c>
      <c r="Y2308" t="s">
        <v>36</v>
      </c>
      <c r="Z2308" t="str">
        <f>"85017"</f>
        <v>85017</v>
      </c>
      <c r="AA2308" t="str">
        <f>""</f>
        <v/>
      </c>
      <c r="AB2308" t="s">
        <v>2345</v>
      </c>
    </row>
    <row r="2309" spans="1:28" x14ac:dyDescent="0.25">
      <c r="A2309">
        <v>92982</v>
      </c>
      <c r="B2309" t="str">
        <f>"078244000"</f>
        <v>078244000</v>
      </c>
      <c r="C2309" t="s">
        <v>8017</v>
      </c>
      <c r="D2309">
        <v>0</v>
      </c>
      <c r="E2309" t="str">
        <f>""</f>
        <v/>
      </c>
      <c r="G2309" t="s">
        <v>29</v>
      </c>
      <c r="H2309" t="s">
        <v>1933</v>
      </c>
      <c r="I2309" t="s">
        <v>7299</v>
      </c>
      <c r="J2309" t="s">
        <v>3734</v>
      </c>
      <c r="K2309" t="str">
        <f>"6027453800"</f>
        <v>6027453800</v>
      </c>
      <c r="L2309" t="str">
        <f>""</f>
        <v/>
      </c>
      <c r="M2309" t="str">
        <f>"6027453899"</f>
        <v>6027453899</v>
      </c>
      <c r="N2309" t="str">
        <f>""</f>
        <v/>
      </c>
      <c r="O2309" t="s">
        <v>8018</v>
      </c>
      <c r="P2309" t="s">
        <v>8019</v>
      </c>
      <c r="R2309" t="s">
        <v>1806</v>
      </c>
      <c r="S2309" t="s">
        <v>36</v>
      </c>
      <c r="T2309" t="str">
        <f>"85379"</f>
        <v>85379</v>
      </c>
      <c r="U2309" t="str">
        <f>""</f>
        <v/>
      </c>
      <c r="V2309" t="s">
        <v>8019</v>
      </c>
      <c r="X2309" t="s">
        <v>1806</v>
      </c>
      <c r="Y2309" t="s">
        <v>36</v>
      </c>
      <c r="Z2309" t="str">
        <f>"85379"</f>
        <v>85379</v>
      </c>
      <c r="AA2309" t="str">
        <f>""</f>
        <v/>
      </c>
      <c r="AB2309" t="s">
        <v>1166</v>
      </c>
    </row>
    <row r="2310" spans="1:28" x14ac:dyDescent="0.25">
      <c r="A2310">
        <v>92982</v>
      </c>
      <c r="B2310" t="str">
        <f>"078244000"</f>
        <v>078244000</v>
      </c>
      <c r="C2310" t="s">
        <v>8017</v>
      </c>
      <c r="D2310">
        <v>703390</v>
      </c>
      <c r="E2310" t="str">
        <f>"078244001"</f>
        <v>078244001</v>
      </c>
      <c r="F2310" t="s">
        <v>8017</v>
      </c>
      <c r="G2310" t="s">
        <v>42</v>
      </c>
      <c r="H2310" t="s">
        <v>8020</v>
      </c>
      <c r="I2310" t="s">
        <v>8021</v>
      </c>
      <c r="J2310" t="s">
        <v>3686</v>
      </c>
      <c r="K2310" t="str">
        <f>"6233008385"</f>
        <v>6233008385</v>
      </c>
      <c r="L2310" t="str">
        <f>""</f>
        <v/>
      </c>
      <c r="M2310" t="str">
        <f>"6232493350"</f>
        <v>6232493350</v>
      </c>
      <c r="N2310" t="str">
        <f>""</f>
        <v/>
      </c>
      <c r="O2310" t="s">
        <v>8022</v>
      </c>
      <c r="P2310" t="s">
        <v>8019</v>
      </c>
      <c r="R2310" t="s">
        <v>1806</v>
      </c>
      <c r="S2310" t="s">
        <v>36</v>
      </c>
      <c r="T2310" t="str">
        <f>"85379"</f>
        <v>85379</v>
      </c>
      <c r="U2310" t="str">
        <f>""</f>
        <v/>
      </c>
      <c r="V2310" t="s">
        <v>8019</v>
      </c>
      <c r="X2310" t="s">
        <v>1806</v>
      </c>
      <c r="Y2310" t="s">
        <v>36</v>
      </c>
      <c r="Z2310" t="str">
        <f>"85379"</f>
        <v>85379</v>
      </c>
      <c r="AA2310" t="str">
        <f>""</f>
        <v/>
      </c>
      <c r="AB2310" t="s">
        <v>1166</v>
      </c>
    </row>
    <row r="2311" spans="1:28" x14ac:dyDescent="0.25">
      <c r="A2311">
        <v>92985</v>
      </c>
      <c r="B2311" t="str">
        <f>"078410000"</f>
        <v>078410000</v>
      </c>
      <c r="C2311" t="s">
        <v>8023</v>
      </c>
      <c r="D2311">
        <v>0</v>
      </c>
      <c r="E2311" t="str">
        <f>""</f>
        <v/>
      </c>
      <c r="G2311" t="s">
        <v>29</v>
      </c>
      <c r="H2311" t="s">
        <v>8024</v>
      </c>
      <c r="I2311" t="s">
        <v>3013</v>
      </c>
      <c r="J2311" t="s">
        <v>8025</v>
      </c>
      <c r="K2311" t="str">
        <f>"6238109781"</f>
        <v>6238109781</v>
      </c>
      <c r="L2311" t="str">
        <f>""</f>
        <v/>
      </c>
      <c r="M2311" t="str">
        <f>""</f>
        <v/>
      </c>
      <c r="N2311" t="str">
        <f>""</f>
        <v/>
      </c>
      <c r="O2311" t="s">
        <v>8026</v>
      </c>
      <c r="P2311" t="s">
        <v>8027</v>
      </c>
      <c r="R2311" t="s">
        <v>964</v>
      </c>
      <c r="S2311" t="s">
        <v>36</v>
      </c>
      <c r="T2311" t="str">
        <f>"85033"</f>
        <v>85033</v>
      </c>
      <c r="U2311" t="str">
        <f>""</f>
        <v/>
      </c>
      <c r="V2311" t="s">
        <v>8027</v>
      </c>
      <c r="X2311" t="s">
        <v>964</v>
      </c>
      <c r="Y2311" t="s">
        <v>36</v>
      </c>
      <c r="Z2311" t="str">
        <f>"85033"</f>
        <v>85033</v>
      </c>
      <c r="AA2311" t="str">
        <f>""</f>
        <v/>
      </c>
      <c r="AB2311" t="s">
        <v>156</v>
      </c>
    </row>
    <row r="2312" spans="1:28" x14ac:dyDescent="0.25">
      <c r="A2312">
        <v>92985</v>
      </c>
      <c r="B2312" t="str">
        <f>"078410000"</f>
        <v>078410000</v>
      </c>
      <c r="C2312" t="s">
        <v>8023</v>
      </c>
      <c r="D2312">
        <v>829726</v>
      </c>
      <c r="E2312" t="str">
        <f>"078410001"</f>
        <v>078410001</v>
      </c>
      <c r="F2312" t="s">
        <v>8028</v>
      </c>
      <c r="G2312" t="s">
        <v>42</v>
      </c>
      <c r="H2312" t="s">
        <v>8024</v>
      </c>
      <c r="I2312" t="s">
        <v>3013</v>
      </c>
      <c r="J2312" t="s">
        <v>8025</v>
      </c>
      <c r="K2312" t="str">
        <f>"6238109781"</f>
        <v>6238109781</v>
      </c>
      <c r="L2312" t="str">
        <f>""</f>
        <v/>
      </c>
      <c r="M2312" t="str">
        <f>""</f>
        <v/>
      </c>
      <c r="N2312" t="str">
        <f>""</f>
        <v/>
      </c>
      <c r="O2312" t="s">
        <v>8026</v>
      </c>
      <c r="P2312" t="s">
        <v>8029</v>
      </c>
      <c r="R2312" t="s">
        <v>964</v>
      </c>
      <c r="S2312" t="s">
        <v>36</v>
      </c>
      <c r="T2312" t="str">
        <f>"85033"</f>
        <v>85033</v>
      </c>
      <c r="U2312" t="str">
        <f>""</f>
        <v/>
      </c>
      <c r="V2312" t="s">
        <v>8029</v>
      </c>
      <c r="X2312" t="s">
        <v>964</v>
      </c>
      <c r="Y2312" t="s">
        <v>36</v>
      </c>
      <c r="Z2312" t="str">
        <f>"85033"</f>
        <v>85033</v>
      </c>
      <c r="AA2312" t="str">
        <f>""</f>
        <v/>
      </c>
      <c r="AB2312" t="s">
        <v>156</v>
      </c>
    </row>
    <row r="2313" spans="1:28" x14ac:dyDescent="0.25">
      <c r="A2313">
        <v>92989</v>
      </c>
      <c r="B2313" t="str">
        <f>"128704000"</f>
        <v>128704000</v>
      </c>
      <c r="C2313" t="s">
        <v>8030</v>
      </c>
      <c r="D2313">
        <v>0</v>
      </c>
      <c r="E2313" t="str">
        <f>""</f>
        <v/>
      </c>
      <c r="G2313" t="s">
        <v>29</v>
      </c>
      <c r="H2313" t="s">
        <v>3744</v>
      </c>
      <c r="I2313" t="s">
        <v>590</v>
      </c>
      <c r="J2313" t="s">
        <v>3745</v>
      </c>
      <c r="K2313" t="str">
        <f>"6029532933"</f>
        <v>6029532933</v>
      </c>
      <c r="L2313" t="str">
        <f>""</f>
        <v/>
      </c>
      <c r="M2313" t="str">
        <f>""</f>
        <v/>
      </c>
      <c r="N2313" t="str">
        <f>""</f>
        <v/>
      </c>
      <c r="O2313" t="s">
        <v>3746</v>
      </c>
      <c r="P2313" t="s">
        <v>3747</v>
      </c>
      <c r="R2313" t="s">
        <v>964</v>
      </c>
      <c r="S2313" t="s">
        <v>36</v>
      </c>
      <c r="T2313" t="str">
        <f>"85020"</f>
        <v>85020</v>
      </c>
      <c r="U2313" t="str">
        <f>""</f>
        <v/>
      </c>
      <c r="V2313" t="s">
        <v>3747</v>
      </c>
      <c r="X2313" t="s">
        <v>964</v>
      </c>
      <c r="Y2313" t="s">
        <v>36</v>
      </c>
      <c r="Z2313" t="str">
        <f>"85020"</f>
        <v>85020</v>
      </c>
      <c r="AA2313" t="str">
        <f>""</f>
        <v/>
      </c>
      <c r="AB2313" t="s">
        <v>1466</v>
      </c>
    </row>
    <row r="2314" spans="1:28" x14ac:dyDescent="0.25">
      <c r="A2314">
        <v>92989</v>
      </c>
      <c r="B2314" t="str">
        <f>"128704000"</f>
        <v>128704000</v>
      </c>
      <c r="C2314" t="s">
        <v>8030</v>
      </c>
      <c r="D2314">
        <v>766437</v>
      </c>
      <c r="E2314" t="str">
        <f>"128704001"</f>
        <v>128704001</v>
      </c>
      <c r="F2314" t="s">
        <v>8031</v>
      </c>
      <c r="G2314" t="s">
        <v>42</v>
      </c>
      <c r="H2314" t="s">
        <v>5098</v>
      </c>
      <c r="I2314" t="s">
        <v>473</v>
      </c>
      <c r="J2314" t="s">
        <v>3734</v>
      </c>
      <c r="K2314" t="str">
        <f>"5202229213"</f>
        <v>5202229213</v>
      </c>
      <c r="L2314" t="str">
        <f>""</f>
        <v/>
      </c>
      <c r="M2314" t="str">
        <f>""</f>
        <v/>
      </c>
      <c r="N2314" t="str">
        <f>""</f>
        <v/>
      </c>
      <c r="O2314" t="s">
        <v>8032</v>
      </c>
      <c r="P2314" t="s">
        <v>8033</v>
      </c>
      <c r="R2314" t="s">
        <v>5129</v>
      </c>
      <c r="S2314" t="s">
        <v>36</v>
      </c>
      <c r="T2314" t="str">
        <f>"85621"</f>
        <v>85621</v>
      </c>
      <c r="U2314" t="str">
        <f>""</f>
        <v/>
      </c>
      <c r="V2314" t="s">
        <v>8033</v>
      </c>
      <c r="X2314" t="s">
        <v>5129</v>
      </c>
      <c r="Y2314" t="s">
        <v>36</v>
      </c>
      <c r="Z2314" t="str">
        <f>"85621"</f>
        <v>85621</v>
      </c>
      <c r="AA2314" t="str">
        <f>""</f>
        <v/>
      </c>
      <c r="AB2314" t="s">
        <v>1466</v>
      </c>
    </row>
    <row r="2315" spans="1:28" x14ac:dyDescent="0.25">
      <c r="A2315">
        <v>268612</v>
      </c>
      <c r="B2315" t="str">
        <f>"149103000"</f>
        <v>149103000</v>
      </c>
      <c r="C2315" t="s">
        <v>8034</v>
      </c>
      <c r="D2315">
        <v>0</v>
      </c>
      <c r="E2315" t="str">
        <f>""</f>
        <v/>
      </c>
      <c r="G2315" t="s">
        <v>29</v>
      </c>
      <c r="H2315" t="s">
        <v>8035</v>
      </c>
      <c r="I2315" t="s">
        <v>8036</v>
      </c>
      <c r="J2315" t="s">
        <v>486</v>
      </c>
      <c r="K2315" t="str">
        <f>"5203645754"</f>
        <v>5203645754</v>
      </c>
      <c r="L2315" t="str">
        <f>""</f>
        <v/>
      </c>
      <c r="M2315" t="str">
        <f>"8883645869"</f>
        <v>8883645869</v>
      </c>
      <c r="N2315" t="str">
        <f>""</f>
        <v/>
      </c>
      <c r="O2315" t="s">
        <v>8037</v>
      </c>
      <c r="P2315" t="s">
        <v>8038</v>
      </c>
      <c r="R2315" t="s">
        <v>336</v>
      </c>
      <c r="S2315" t="s">
        <v>36</v>
      </c>
      <c r="T2315" t="str">
        <f>"85607"</f>
        <v>85607</v>
      </c>
      <c r="U2315" t="str">
        <f>""</f>
        <v/>
      </c>
      <c r="V2315" t="s">
        <v>8038</v>
      </c>
      <c r="X2315" t="s">
        <v>336</v>
      </c>
      <c r="Y2315" t="s">
        <v>36</v>
      </c>
      <c r="Z2315" t="str">
        <f>"85607"</f>
        <v>85607</v>
      </c>
      <c r="AA2315" t="str">
        <f>""</f>
        <v/>
      </c>
      <c r="AB2315" t="s">
        <v>2345</v>
      </c>
    </row>
    <row r="2316" spans="1:28" x14ac:dyDescent="0.25">
      <c r="A2316">
        <v>268612</v>
      </c>
      <c r="B2316" t="str">
        <f>"149103000"</f>
        <v>149103000</v>
      </c>
      <c r="C2316" t="s">
        <v>8034</v>
      </c>
      <c r="D2316">
        <v>89997</v>
      </c>
      <c r="E2316" t="str">
        <f>"142003202"</f>
        <v>142003202</v>
      </c>
      <c r="F2316" t="s">
        <v>8034</v>
      </c>
      <c r="G2316" t="s">
        <v>42</v>
      </c>
      <c r="H2316" t="s">
        <v>8039</v>
      </c>
      <c r="I2316" t="s">
        <v>2472</v>
      </c>
      <c r="J2316" t="s">
        <v>8040</v>
      </c>
      <c r="K2316" t="str">
        <f>"5203645754"</f>
        <v>5203645754</v>
      </c>
      <c r="L2316" t="str">
        <f>""</f>
        <v/>
      </c>
      <c r="M2316" t="str">
        <f>""</f>
        <v/>
      </c>
      <c r="N2316" t="str">
        <f>""</f>
        <v/>
      </c>
      <c r="O2316" t="s">
        <v>8041</v>
      </c>
      <c r="P2316" t="s">
        <v>8038</v>
      </c>
      <c r="R2316" t="s">
        <v>336</v>
      </c>
      <c r="S2316" t="s">
        <v>36</v>
      </c>
      <c r="T2316" t="str">
        <f>"85607"</f>
        <v>85607</v>
      </c>
      <c r="U2316" t="str">
        <f>""</f>
        <v/>
      </c>
      <c r="V2316" t="s">
        <v>8038</v>
      </c>
      <c r="X2316" t="s">
        <v>336</v>
      </c>
      <c r="Y2316" t="s">
        <v>36</v>
      </c>
      <c r="Z2316" t="str">
        <f>"85607"</f>
        <v>85607</v>
      </c>
      <c r="AA2316" t="str">
        <f>""</f>
        <v/>
      </c>
      <c r="AB2316" t="s">
        <v>2345</v>
      </c>
    </row>
    <row r="2317" spans="1:28" x14ac:dyDescent="0.25">
      <c r="A2317">
        <v>549803</v>
      </c>
      <c r="B2317" t="str">
        <f>"078282000"</f>
        <v>078282000</v>
      </c>
      <c r="C2317" t="s">
        <v>8042</v>
      </c>
      <c r="D2317">
        <v>0</v>
      </c>
      <c r="E2317" t="str">
        <f>""</f>
        <v/>
      </c>
      <c r="G2317" t="s">
        <v>29</v>
      </c>
      <c r="H2317" t="s">
        <v>8043</v>
      </c>
      <c r="I2317" t="s">
        <v>936</v>
      </c>
      <c r="J2317" t="s">
        <v>8044</v>
      </c>
      <c r="K2317" t="str">
        <f>"4805893198"</f>
        <v>4805893198</v>
      </c>
      <c r="L2317" t="str">
        <f>""</f>
        <v/>
      </c>
      <c r="M2317" t="str">
        <f>""</f>
        <v/>
      </c>
      <c r="N2317" t="str">
        <f>""</f>
        <v/>
      </c>
      <c r="O2317" t="s">
        <v>8045</v>
      </c>
      <c r="P2317" t="s">
        <v>8046</v>
      </c>
      <c r="R2317" t="s">
        <v>964</v>
      </c>
      <c r="S2317" t="s">
        <v>36</v>
      </c>
      <c r="T2317" t="str">
        <f>"85041"</f>
        <v>85041</v>
      </c>
      <c r="U2317" t="str">
        <f>""</f>
        <v/>
      </c>
      <c r="V2317" t="s">
        <v>8046</v>
      </c>
      <c r="X2317" t="s">
        <v>964</v>
      </c>
      <c r="Y2317" t="s">
        <v>36</v>
      </c>
      <c r="Z2317" t="str">
        <f>"85041"</f>
        <v>85041</v>
      </c>
      <c r="AA2317" t="str">
        <f>""</f>
        <v/>
      </c>
      <c r="AB2317" t="s">
        <v>249</v>
      </c>
    </row>
    <row r="2318" spans="1:28" x14ac:dyDescent="0.25">
      <c r="A2318">
        <v>549803</v>
      </c>
      <c r="B2318" t="str">
        <f>"078282000"</f>
        <v>078282000</v>
      </c>
      <c r="C2318" t="s">
        <v>8042</v>
      </c>
      <c r="D2318">
        <v>139682</v>
      </c>
      <c r="E2318" t="str">
        <f>"078282001"</f>
        <v>078282001</v>
      </c>
      <c r="F2318" t="s">
        <v>8047</v>
      </c>
      <c r="G2318" t="s">
        <v>42</v>
      </c>
      <c r="H2318" t="s">
        <v>7781</v>
      </c>
      <c r="I2318" t="s">
        <v>7782</v>
      </c>
      <c r="J2318" t="s">
        <v>6281</v>
      </c>
      <c r="K2318" t="str">
        <f>"6027535895"</f>
        <v>6027535895</v>
      </c>
      <c r="L2318" t="str">
        <f>""</f>
        <v/>
      </c>
      <c r="M2318" t="str">
        <f>""</f>
        <v/>
      </c>
      <c r="N2318" t="str">
        <f>""</f>
        <v/>
      </c>
      <c r="O2318" t="s">
        <v>7783</v>
      </c>
      <c r="P2318" t="s">
        <v>8048</v>
      </c>
      <c r="R2318" t="s">
        <v>964</v>
      </c>
      <c r="S2318" t="s">
        <v>36</v>
      </c>
      <c r="T2318" t="str">
        <f>"85041"</f>
        <v>85041</v>
      </c>
      <c r="U2318" t="str">
        <f>""</f>
        <v/>
      </c>
      <c r="V2318" t="s">
        <v>8048</v>
      </c>
      <c r="X2318" t="s">
        <v>964</v>
      </c>
      <c r="Y2318" t="s">
        <v>36</v>
      </c>
      <c r="Z2318" t="str">
        <f>"85041"</f>
        <v>85041</v>
      </c>
      <c r="AA2318" t="str">
        <f>""</f>
        <v/>
      </c>
      <c r="AB2318" t="s">
        <v>249</v>
      </c>
    </row>
    <row r="2319" spans="1:28" x14ac:dyDescent="0.25">
      <c r="A2319">
        <v>743644</v>
      </c>
      <c r="B2319" t="str">
        <f>"078573000"</f>
        <v>078573000</v>
      </c>
      <c r="C2319" t="s">
        <v>8049</v>
      </c>
      <c r="D2319">
        <v>0</v>
      </c>
      <c r="E2319" t="str">
        <f>""</f>
        <v/>
      </c>
      <c r="G2319" t="s">
        <v>29</v>
      </c>
      <c r="H2319" t="s">
        <v>8050</v>
      </c>
      <c r="I2319" t="s">
        <v>741</v>
      </c>
      <c r="J2319" t="s">
        <v>8051</v>
      </c>
      <c r="K2319" t="str">
        <f>"6233633849"</f>
        <v>6233633849</v>
      </c>
      <c r="L2319" t="str">
        <f>""</f>
        <v/>
      </c>
      <c r="M2319" t="str">
        <f>""</f>
        <v/>
      </c>
      <c r="N2319" t="str">
        <f>""</f>
        <v/>
      </c>
      <c r="O2319" t="s">
        <v>8052</v>
      </c>
      <c r="P2319" t="s">
        <v>8053</v>
      </c>
      <c r="R2319" t="s">
        <v>1173</v>
      </c>
      <c r="S2319" t="s">
        <v>36</v>
      </c>
      <c r="T2319" t="str">
        <f>"85305"</f>
        <v>85305</v>
      </c>
      <c r="U2319" t="str">
        <f>""</f>
        <v/>
      </c>
      <c r="V2319" t="s">
        <v>8053</v>
      </c>
      <c r="X2319" t="s">
        <v>1173</v>
      </c>
      <c r="Y2319" t="s">
        <v>36</v>
      </c>
      <c r="Z2319" t="str">
        <f>"85305"</f>
        <v>85305</v>
      </c>
      <c r="AA2319" t="str">
        <f>""</f>
        <v/>
      </c>
      <c r="AB2319" t="s">
        <v>249</v>
      </c>
    </row>
    <row r="2320" spans="1:28" x14ac:dyDescent="0.25">
      <c r="A2320">
        <v>743644</v>
      </c>
      <c r="B2320" t="str">
        <f>"078573000"</f>
        <v>078573000</v>
      </c>
      <c r="C2320" t="s">
        <v>8049</v>
      </c>
      <c r="D2320">
        <v>465875</v>
      </c>
      <c r="E2320" t="str">
        <f>"078573101"</f>
        <v>078573101</v>
      </c>
      <c r="F2320" t="s">
        <v>8054</v>
      </c>
      <c r="G2320" t="s">
        <v>42</v>
      </c>
      <c r="H2320" t="s">
        <v>8050</v>
      </c>
      <c r="I2320" t="s">
        <v>741</v>
      </c>
      <c r="J2320" t="s">
        <v>8051</v>
      </c>
      <c r="K2320" t="str">
        <f>"6233633849"</f>
        <v>6233633849</v>
      </c>
      <c r="L2320" t="str">
        <f>""</f>
        <v/>
      </c>
      <c r="M2320" t="str">
        <f>""</f>
        <v/>
      </c>
      <c r="N2320" t="str">
        <f>""</f>
        <v/>
      </c>
      <c r="O2320" t="s">
        <v>8052</v>
      </c>
      <c r="P2320" t="s">
        <v>8053</v>
      </c>
      <c r="R2320" t="s">
        <v>1173</v>
      </c>
      <c r="S2320" t="s">
        <v>36</v>
      </c>
      <c r="T2320" t="str">
        <f>"85305"</f>
        <v>85305</v>
      </c>
      <c r="U2320" t="str">
        <f>""</f>
        <v/>
      </c>
      <c r="V2320" t="s">
        <v>8053</v>
      </c>
      <c r="X2320" t="s">
        <v>1173</v>
      </c>
      <c r="Y2320" t="s">
        <v>36</v>
      </c>
      <c r="Z2320" t="str">
        <f>"85305"</f>
        <v>85305</v>
      </c>
      <c r="AA2320" t="str">
        <f>""</f>
        <v/>
      </c>
      <c r="AB2320" t="s">
        <v>249</v>
      </c>
    </row>
    <row r="2321" spans="1:28" x14ac:dyDescent="0.25">
      <c r="A2321">
        <v>850101</v>
      </c>
      <c r="B2321" t="str">
        <f>"078409000"</f>
        <v>078409000</v>
      </c>
      <c r="C2321" t="s">
        <v>8055</v>
      </c>
      <c r="D2321">
        <v>0</v>
      </c>
      <c r="E2321" t="str">
        <f>""</f>
        <v/>
      </c>
      <c r="G2321" t="s">
        <v>29</v>
      </c>
      <c r="H2321" t="s">
        <v>6702</v>
      </c>
      <c r="I2321" t="s">
        <v>7475</v>
      </c>
      <c r="J2321" t="s">
        <v>8056</v>
      </c>
      <c r="K2321" t="str">
        <f>"4802705438"</f>
        <v>4802705438</v>
      </c>
      <c r="L2321" t="str">
        <f>""</f>
        <v/>
      </c>
      <c r="M2321" t="str">
        <f>""</f>
        <v/>
      </c>
      <c r="N2321" t="str">
        <f>""</f>
        <v/>
      </c>
      <c r="O2321" t="s">
        <v>8057</v>
      </c>
      <c r="P2321" t="s">
        <v>8058</v>
      </c>
      <c r="R2321" t="s">
        <v>1041</v>
      </c>
      <c r="S2321" t="s">
        <v>36</v>
      </c>
      <c r="T2321" t="str">
        <f>"85286"</f>
        <v>85286</v>
      </c>
      <c r="U2321" t="str">
        <f>""</f>
        <v/>
      </c>
      <c r="V2321" t="s">
        <v>8059</v>
      </c>
      <c r="X2321" t="s">
        <v>1041</v>
      </c>
      <c r="Y2321" t="s">
        <v>36</v>
      </c>
      <c r="Z2321" t="str">
        <f>"85225"</f>
        <v>85225</v>
      </c>
      <c r="AA2321" t="str">
        <f>""</f>
        <v/>
      </c>
      <c r="AB2321" t="s">
        <v>217</v>
      </c>
    </row>
    <row r="2322" spans="1:28" x14ac:dyDescent="0.25">
      <c r="A2322">
        <v>850101</v>
      </c>
      <c r="B2322" t="str">
        <f>"078409000"</f>
        <v>078409000</v>
      </c>
      <c r="C2322" t="s">
        <v>8055</v>
      </c>
      <c r="D2322">
        <v>411380</v>
      </c>
      <c r="E2322" t="str">
        <f>"078409001"</f>
        <v>078409001</v>
      </c>
      <c r="F2322" t="s">
        <v>8055</v>
      </c>
      <c r="G2322" t="s">
        <v>42</v>
      </c>
      <c r="H2322" t="s">
        <v>6702</v>
      </c>
      <c r="I2322" t="s">
        <v>7475</v>
      </c>
      <c r="J2322" t="s">
        <v>902</v>
      </c>
      <c r="K2322" t="str">
        <f>"4802705438"</f>
        <v>4802705438</v>
      </c>
      <c r="L2322" t="str">
        <f>"1268"</f>
        <v>1268</v>
      </c>
      <c r="M2322" t="str">
        <f>""</f>
        <v/>
      </c>
      <c r="N2322" t="str">
        <f>""</f>
        <v/>
      </c>
      <c r="O2322" t="s">
        <v>8057</v>
      </c>
      <c r="P2322" t="s">
        <v>8058</v>
      </c>
      <c r="R2322" t="s">
        <v>1041</v>
      </c>
      <c r="S2322" t="s">
        <v>36</v>
      </c>
      <c r="T2322" t="str">
        <f>"85286"</f>
        <v>85286</v>
      </c>
      <c r="U2322" t="str">
        <f>""</f>
        <v/>
      </c>
      <c r="V2322" t="s">
        <v>8059</v>
      </c>
      <c r="X2322" t="s">
        <v>1041</v>
      </c>
      <c r="Y2322" t="s">
        <v>36</v>
      </c>
      <c r="Z2322" t="str">
        <f>"85225"</f>
        <v>85225</v>
      </c>
      <c r="AA2322" t="str">
        <f>""</f>
        <v/>
      </c>
      <c r="AB2322" t="s">
        <v>217</v>
      </c>
    </row>
    <row r="2323" spans="1:28" x14ac:dyDescent="0.25">
      <c r="A2323">
        <v>850101</v>
      </c>
      <c r="B2323" t="str">
        <f>"078409000"</f>
        <v>078409000</v>
      </c>
      <c r="C2323" t="s">
        <v>8055</v>
      </c>
      <c r="D2323">
        <v>541763</v>
      </c>
      <c r="E2323" t="str">
        <f>"078413001"</f>
        <v>078413001</v>
      </c>
      <c r="F2323" t="s">
        <v>8060</v>
      </c>
      <c r="G2323" t="s">
        <v>42</v>
      </c>
      <c r="H2323" t="s">
        <v>6702</v>
      </c>
      <c r="I2323" t="s">
        <v>7475</v>
      </c>
      <c r="J2323" t="s">
        <v>898</v>
      </c>
      <c r="K2323" t="str">
        <f>"4805435438"</f>
        <v>4805435438</v>
      </c>
      <c r="L2323" t="str">
        <f>"1268"</f>
        <v>1268</v>
      </c>
      <c r="M2323" t="str">
        <f>""</f>
        <v/>
      </c>
      <c r="N2323" t="str">
        <f>""</f>
        <v/>
      </c>
      <c r="O2323" t="s">
        <v>8057</v>
      </c>
      <c r="P2323" t="s">
        <v>8058</v>
      </c>
      <c r="R2323" t="s">
        <v>1041</v>
      </c>
      <c r="S2323" t="s">
        <v>36</v>
      </c>
      <c r="T2323" t="str">
        <f>"85286"</f>
        <v>85286</v>
      </c>
      <c r="U2323" t="str">
        <f>""</f>
        <v/>
      </c>
      <c r="V2323" t="s">
        <v>8061</v>
      </c>
      <c r="X2323" t="s">
        <v>979</v>
      </c>
      <c r="Y2323" t="s">
        <v>36</v>
      </c>
      <c r="Z2323" t="str">
        <f>"85212"</f>
        <v>85212</v>
      </c>
      <c r="AA2323" t="str">
        <f>""</f>
        <v/>
      </c>
      <c r="AB2323" t="s">
        <v>217</v>
      </c>
    </row>
    <row r="2324" spans="1:28" x14ac:dyDescent="0.25">
      <c r="A2324">
        <v>1000080</v>
      </c>
      <c r="B2324" t="str">
        <f>"102042000"</f>
        <v>102042000</v>
      </c>
      <c r="C2324" t="s">
        <v>8062</v>
      </c>
      <c r="D2324">
        <v>0</v>
      </c>
      <c r="E2324" t="str">
        <f>""</f>
        <v/>
      </c>
      <c r="G2324" t="s">
        <v>29</v>
      </c>
      <c r="H2324" t="s">
        <v>260</v>
      </c>
      <c r="I2324" t="s">
        <v>8063</v>
      </c>
      <c r="J2324" t="s">
        <v>8064</v>
      </c>
      <c r="K2324" t="str">
        <f>"5207950161"</f>
        <v>5207950161</v>
      </c>
      <c r="L2324" t="str">
        <f>""</f>
        <v/>
      </c>
      <c r="M2324" t="str">
        <f>"5207950756"</f>
        <v>5207950756</v>
      </c>
      <c r="N2324" t="str">
        <f>""</f>
        <v/>
      </c>
      <c r="O2324" t="s">
        <v>8065</v>
      </c>
      <c r="P2324" t="s">
        <v>8066</v>
      </c>
      <c r="R2324" t="s">
        <v>4169</v>
      </c>
      <c r="S2324" t="s">
        <v>36</v>
      </c>
      <c r="T2324" t="str">
        <f>"85732"</f>
        <v>85732</v>
      </c>
      <c r="U2324" t="str">
        <f>""</f>
        <v/>
      </c>
      <c r="V2324" t="s">
        <v>8067</v>
      </c>
      <c r="X2324" t="s">
        <v>4169</v>
      </c>
      <c r="Y2324" t="s">
        <v>36</v>
      </c>
      <c r="Z2324" t="str">
        <f>"85712"</f>
        <v>85712</v>
      </c>
      <c r="AA2324" t="str">
        <f>""</f>
        <v/>
      </c>
      <c r="AB2324" t="s">
        <v>265</v>
      </c>
    </row>
    <row r="2325" spans="1:28" x14ac:dyDescent="0.25">
      <c r="A2325">
        <v>1000080</v>
      </c>
      <c r="B2325" t="str">
        <f>"102042000"</f>
        <v>102042000</v>
      </c>
      <c r="C2325" t="s">
        <v>8062</v>
      </c>
      <c r="D2325">
        <v>1000081</v>
      </c>
      <c r="E2325" t="str">
        <f>"102042001"</f>
        <v>102042001</v>
      </c>
      <c r="F2325" t="s">
        <v>8062</v>
      </c>
      <c r="G2325" t="s">
        <v>42</v>
      </c>
      <c r="H2325" t="s">
        <v>260</v>
      </c>
      <c r="I2325" t="s">
        <v>8063</v>
      </c>
      <c r="J2325" t="s">
        <v>8064</v>
      </c>
      <c r="K2325" t="str">
        <f>"5207950161"</f>
        <v>5207950161</v>
      </c>
      <c r="L2325" t="str">
        <f>""</f>
        <v/>
      </c>
      <c r="M2325" t="str">
        <f>"5207950756"</f>
        <v>5207950756</v>
      </c>
      <c r="N2325" t="str">
        <f>""</f>
        <v/>
      </c>
      <c r="O2325" t="s">
        <v>8065</v>
      </c>
      <c r="P2325" t="s">
        <v>8066</v>
      </c>
      <c r="R2325" t="s">
        <v>4169</v>
      </c>
      <c r="S2325" t="s">
        <v>36</v>
      </c>
      <c r="T2325" t="str">
        <f>"85732"</f>
        <v>85732</v>
      </c>
      <c r="U2325" t="str">
        <f>""</f>
        <v/>
      </c>
      <c r="V2325" t="s">
        <v>8067</v>
      </c>
      <c r="X2325" t="s">
        <v>4169</v>
      </c>
      <c r="Y2325" t="s">
        <v>36</v>
      </c>
      <c r="Z2325" t="str">
        <f>"85712"</f>
        <v>85712</v>
      </c>
      <c r="AA2325" t="str">
        <f>""</f>
        <v/>
      </c>
      <c r="AB2325" t="s">
        <v>265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SponsorAndSiteContactsReport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Merritt, Kristin</dc:creator>
  <cp:lastModifiedBy>Merritt, Kristin</cp:lastModifiedBy>
  <dcterms:created xsi:type="dcterms:W3CDTF">2019-06-06T16:01:43Z</dcterms:created>
  <dcterms:modified xsi:type="dcterms:W3CDTF">2019-06-06T16:01:43Z</dcterms:modified>
</cp:coreProperties>
</file>