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Delaware DE/Raw Data/"/>
    </mc:Choice>
  </mc:AlternateContent>
  <xr:revisionPtr revIDLastSave="4" documentId="11_19419DFB83E2DEC58AB5700A268F094591CEAC3A" xr6:coauthVersionLast="38" xr6:coauthVersionMax="38" xr10:uidLastSave="{157868C3-CDBC-2948-A71E-B2B8D6CB2081}"/>
  <bookViews>
    <workbookView xWindow="18760" yWindow="9000" windowWidth="24380" windowHeight="18800" xr2:uid="{00000000-000D-0000-FFFF-FFFF00000000}"/>
  </bookViews>
  <sheets>
    <sheet name="Sheet1" sheetId="1" r:id="rId1"/>
  </sheets>
  <definedNames>
    <definedName name="_xlnm._FilterDatabase" localSheetId="0" hidden="1">Sheet1!$A$1:$T$262</definedName>
    <definedName name="_xlnm.Print_Area" localSheetId="0">Sheet1!$A$1:$T$262</definedName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62" i="1" l="1"/>
  <c r="S262" i="1"/>
  <c r="R262" i="1"/>
  <c r="T262" i="1"/>
  <c r="P262" i="1"/>
  <c r="O262" i="1"/>
  <c r="N257" i="1"/>
  <c r="J257" i="1"/>
  <c r="F257" i="1"/>
  <c r="N256" i="1"/>
  <c r="J256" i="1"/>
  <c r="F256" i="1"/>
  <c r="N255" i="1"/>
  <c r="J255" i="1"/>
  <c r="F255" i="1"/>
  <c r="N254" i="1"/>
  <c r="J254" i="1"/>
  <c r="F254" i="1"/>
  <c r="N253" i="1"/>
  <c r="J253" i="1"/>
  <c r="F253" i="1"/>
  <c r="N252" i="1" l="1"/>
  <c r="J252" i="1"/>
  <c r="F252" i="1"/>
  <c r="N251" i="1"/>
  <c r="J251" i="1"/>
  <c r="F251" i="1"/>
  <c r="N250" i="1"/>
  <c r="J250" i="1"/>
  <c r="F250" i="1"/>
  <c r="N249" i="1"/>
  <c r="J249" i="1"/>
  <c r="F249" i="1"/>
  <c r="N248" i="1"/>
  <c r="J248" i="1"/>
  <c r="F248" i="1"/>
  <c r="N247" i="1"/>
  <c r="J247" i="1"/>
  <c r="F247" i="1"/>
  <c r="N246" i="1"/>
  <c r="J246" i="1"/>
  <c r="F246" i="1"/>
  <c r="N245" i="1"/>
  <c r="J245" i="1"/>
  <c r="F245" i="1"/>
  <c r="N244" i="1"/>
  <c r="J244" i="1"/>
  <c r="F244" i="1"/>
  <c r="N243" i="1"/>
  <c r="J243" i="1"/>
  <c r="F243" i="1"/>
  <c r="F242" i="1"/>
  <c r="N235" i="1"/>
  <c r="J235" i="1"/>
  <c r="D235" i="1"/>
  <c r="F235" i="1" s="1"/>
  <c r="N234" i="1"/>
  <c r="J234" i="1"/>
  <c r="F234" i="1"/>
  <c r="N233" i="1"/>
  <c r="J233" i="1"/>
  <c r="F233" i="1"/>
  <c r="N232" i="1"/>
  <c r="J232" i="1"/>
  <c r="D232" i="1"/>
  <c r="F232" i="1" s="1"/>
  <c r="N231" i="1"/>
  <c r="J231" i="1"/>
  <c r="D231" i="1"/>
  <c r="F231" i="1" s="1"/>
  <c r="N230" i="1"/>
  <c r="J230" i="1"/>
  <c r="D230" i="1"/>
  <c r="F230" i="1" s="1"/>
  <c r="N229" i="1"/>
  <c r="J229" i="1"/>
  <c r="F229" i="1"/>
  <c r="N228" i="1"/>
  <c r="J228" i="1"/>
  <c r="D228" i="1"/>
  <c r="F228" i="1" s="1"/>
  <c r="N227" i="1"/>
  <c r="J227" i="1"/>
  <c r="D227" i="1"/>
  <c r="F227" i="1" s="1"/>
  <c r="N226" i="1"/>
  <c r="J226" i="1"/>
  <c r="D226" i="1"/>
  <c r="F226" i="1" s="1"/>
  <c r="N225" i="1"/>
  <c r="J225" i="1"/>
  <c r="D225" i="1"/>
  <c r="F225" i="1" s="1"/>
  <c r="N224" i="1"/>
  <c r="J224" i="1"/>
  <c r="F224" i="1"/>
  <c r="N223" i="1"/>
  <c r="J223" i="1"/>
  <c r="F223" i="1"/>
  <c r="N222" i="1"/>
  <c r="J222" i="1"/>
  <c r="D222" i="1"/>
  <c r="F222" i="1" s="1"/>
  <c r="N221" i="1"/>
  <c r="J221" i="1"/>
  <c r="D221" i="1"/>
  <c r="F221" i="1" s="1"/>
  <c r="N220" i="1"/>
  <c r="J220" i="1"/>
  <c r="F220" i="1"/>
  <c r="N219" i="1"/>
  <c r="J219" i="1"/>
  <c r="D219" i="1"/>
  <c r="F219" i="1" s="1"/>
  <c r="N218" i="1"/>
  <c r="J218" i="1"/>
  <c r="D218" i="1"/>
  <c r="F218" i="1" s="1"/>
  <c r="N217" i="1"/>
  <c r="J217" i="1"/>
  <c r="D217" i="1"/>
  <c r="F217" i="1" s="1"/>
  <c r="N216" i="1"/>
  <c r="J216" i="1"/>
  <c r="D216" i="1"/>
  <c r="F216" i="1" s="1"/>
  <c r="N215" i="1"/>
  <c r="J215" i="1"/>
  <c r="F215" i="1"/>
  <c r="N214" i="1"/>
  <c r="J214" i="1"/>
  <c r="D214" i="1"/>
  <c r="F214" i="1" s="1"/>
  <c r="N213" i="1"/>
  <c r="J213" i="1"/>
  <c r="D213" i="1"/>
  <c r="F213" i="1" s="1"/>
  <c r="N212" i="1"/>
  <c r="J212" i="1"/>
  <c r="D212" i="1"/>
  <c r="F212" i="1" s="1"/>
  <c r="N211" i="1"/>
  <c r="J211" i="1"/>
  <c r="F211" i="1"/>
  <c r="N210" i="1"/>
  <c r="J210" i="1"/>
  <c r="D210" i="1"/>
  <c r="F210" i="1" s="1"/>
  <c r="N209" i="1" l="1"/>
  <c r="J209" i="1"/>
  <c r="F209" i="1"/>
  <c r="N208" i="1" l="1"/>
  <c r="J208" i="1"/>
  <c r="F208" i="1"/>
  <c r="L207" i="1"/>
  <c r="N207" i="1" s="1"/>
  <c r="H207" i="1"/>
  <c r="J207" i="1" s="1"/>
  <c r="F207" i="1"/>
  <c r="N206" i="1"/>
  <c r="J206" i="1"/>
  <c r="F206" i="1"/>
  <c r="N205" i="1"/>
  <c r="J205" i="1"/>
  <c r="F205" i="1"/>
  <c r="N204" i="1"/>
  <c r="J204" i="1"/>
  <c r="F204" i="1"/>
  <c r="N203" i="1"/>
  <c r="J203" i="1"/>
  <c r="F203" i="1"/>
  <c r="N202" i="1"/>
  <c r="J202" i="1"/>
  <c r="F202" i="1"/>
  <c r="L201" i="1"/>
  <c r="N201" i="1" s="1"/>
  <c r="H201" i="1"/>
  <c r="J201" i="1" s="1"/>
  <c r="F201" i="1"/>
  <c r="L200" i="1"/>
  <c r="N200" i="1" s="1"/>
  <c r="H200" i="1"/>
  <c r="J200" i="1" s="1"/>
  <c r="F200" i="1"/>
  <c r="L199" i="1"/>
  <c r="N199" i="1" s="1"/>
  <c r="H199" i="1"/>
  <c r="J199" i="1" s="1"/>
  <c r="F199" i="1"/>
  <c r="N198" i="1" l="1"/>
  <c r="J198" i="1"/>
  <c r="F198" i="1"/>
  <c r="N197" i="1"/>
  <c r="J197" i="1"/>
  <c r="F197" i="1"/>
  <c r="N192" i="1"/>
  <c r="J192" i="1"/>
  <c r="F192" i="1"/>
  <c r="N191" i="1"/>
  <c r="J191" i="1"/>
  <c r="F191" i="1"/>
  <c r="N190" i="1"/>
  <c r="J190" i="1"/>
  <c r="F190" i="1"/>
  <c r="N189" i="1"/>
  <c r="J189" i="1"/>
  <c r="F189" i="1"/>
  <c r="N186" i="1"/>
  <c r="K186" i="1"/>
  <c r="J186" i="1"/>
  <c r="G186" i="1"/>
  <c r="D186" i="1"/>
  <c r="F186" i="1" s="1"/>
  <c r="N185" i="1"/>
  <c r="K185" i="1"/>
  <c r="J185" i="1"/>
  <c r="G185" i="1"/>
  <c r="D185" i="1"/>
  <c r="F185" i="1" s="1"/>
  <c r="N184" i="1"/>
  <c r="K184" i="1"/>
  <c r="J184" i="1"/>
  <c r="G184" i="1"/>
  <c r="D184" i="1"/>
  <c r="F184" i="1" s="1"/>
  <c r="N183" i="1"/>
  <c r="K183" i="1"/>
  <c r="J183" i="1"/>
  <c r="G183" i="1"/>
  <c r="D183" i="1"/>
  <c r="F183" i="1" s="1"/>
  <c r="N182" i="1"/>
  <c r="K182" i="1"/>
  <c r="J182" i="1"/>
  <c r="G182" i="1"/>
  <c r="D182" i="1"/>
  <c r="F182" i="1" s="1"/>
  <c r="N181" i="1"/>
  <c r="K181" i="1"/>
  <c r="J181" i="1"/>
  <c r="G181" i="1"/>
  <c r="D181" i="1"/>
  <c r="F181" i="1" s="1"/>
  <c r="N176" i="1"/>
  <c r="J176" i="1"/>
  <c r="F176" i="1"/>
  <c r="N175" i="1"/>
  <c r="J175" i="1"/>
  <c r="F175" i="1"/>
  <c r="N174" i="1"/>
  <c r="J174" i="1"/>
  <c r="F174" i="1"/>
  <c r="N173" i="1"/>
  <c r="J173" i="1"/>
  <c r="F173" i="1"/>
  <c r="N172" i="1"/>
  <c r="J172" i="1"/>
  <c r="F172" i="1"/>
  <c r="N171" i="1"/>
  <c r="J171" i="1"/>
  <c r="F171" i="1"/>
  <c r="N170" i="1"/>
  <c r="J170" i="1"/>
  <c r="F170" i="1"/>
  <c r="N168" i="1"/>
  <c r="J168" i="1"/>
  <c r="F168" i="1"/>
  <c r="N167" i="1"/>
  <c r="J167" i="1"/>
  <c r="F167" i="1"/>
  <c r="N166" i="1"/>
  <c r="J166" i="1"/>
  <c r="F166" i="1"/>
  <c r="N165" i="1"/>
  <c r="J165" i="1"/>
  <c r="F165" i="1"/>
  <c r="N164" i="1"/>
  <c r="J164" i="1"/>
  <c r="F164" i="1"/>
  <c r="N163" i="1"/>
  <c r="J163" i="1"/>
  <c r="F163" i="1"/>
  <c r="N162" i="1"/>
  <c r="J162" i="1"/>
  <c r="F162" i="1"/>
  <c r="N161" i="1"/>
  <c r="J161" i="1"/>
  <c r="F161" i="1"/>
  <c r="N160" i="1"/>
  <c r="J160" i="1"/>
  <c r="F160" i="1"/>
  <c r="N159" i="1"/>
  <c r="J159" i="1"/>
  <c r="F159" i="1"/>
  <c r="N158" i="1"/>
  <c r="J158" i="1"/>
  <c r="F158" i="1"/>
  <c r="N157" i="1"/>
  <c r="J157" i="1"/>
  <c r="F157" i="1"/>
  <c r="N156" i="1"/>
  <c r="J156" i="1"/>
  <c r="F156" i="1"/>
  <c r="N155" i="1"/>
  <c r="J155" i="1"/>
  <c r="F155" i="1"/>
  <c r="N154" i="1"/>
  <c r="J154" i="1"/>
  <c r="F154" i="1"/>
  <c r="N153" i="1"/>
  <c r="J153" i="1"/>
  <c r="F153" i="1"/>
  <c r="N152" i="1"/>
  <c r="J152" i="1"/>
  <c r="F152" i="1"/>
  <c r="N151" i="1"/>
  <c r="J151" i="1"/>
  <c r="F151" i="1"/>
  <c r="N150" i="1"/>
  <c r="J150" i="1"/>
  <c r="F150" i="1"/>
  <c r="N149" i="1"/>
  <c r="J149" i="1"/>
  <c r="F149" i="1"/>
  <c r="N148" i="1"/>
  <c r="J148" i="1"/>
  <c r="F148" i="1"/>
  <c r="N147" i="1" l="1"/>
  <c r="J147" i="1"/>
  <c r="F147" i="1"/>
  <c r="F146" i="1"/>
  <c r="N145" i="1"/>
  <c r="K145" i="1"/>
  <c r="J145" i="1"/>
  <c r="G145" i="1"/>
  <c r="F145" i="1"/>
  <c r="N144" i="1"/>
  <c r="J144" i="1"/>
  <c r="F144" i="1"/>
  <c r="N143" i="1"/>
  <c r="J143" i="1"/>
  <c r="F143" i="1"/>
  <c r="N142" i="1"/>
  <c r="J142" i="1"/>
  <c r="F142" i="1"/>
  <c r="N141" i="1"/>
  <c r="J141" i="1"/>
  <c r="F141" i="1"/>
  <c r="N140" i="1"/>
  <c r="J140" i="1"/>
  <c r="F140" i="1"/>
  <c r="N139" i="1"/>
  <c r="J139" i="1"/>
  <c r="F139" i="1"/>
  <c r="N138" i="1"/>
  <c r="J138" i="1"/>
  <c r="F138" i="1"/>
  <c r="N137" i="1"/>
  <c r="J137" i="1"/>
  <c r="F137" i="1"/>
  <c r="N135" i="1"/>
  <c r="J135" i="1"/>
  <c r="F135" i="1"/>
  <c r="N134" i="1"/>
  <c r="J134" i="1"/>
  <c r="F134" i="1"/>
  <c r="N133" i="1"/>
  <c r="J133" i="1"/>
  <c r="F133" i="1"/>
  <c r="N132" i="1"/>
  <c r="F132" i="1"/>
  <c r="N131" i="1"/>
  <c r="J131" i="1"/>
  <c r="F131" i="1"/>
  <c r="N130" i="1"/>
  <c r="J130" i="1"/>
  <c r="F130" i="1"/>
  <c r="N129" i="1"/>
  <c r="J129" i="1"/>
  <c r="F129" i="1"/>
  <c r="N128" i="1"/>
  <c r="J128" i="1"/>
  <c r="F128" i="1"/>
  <c r="N127" i="1"/>
  <c r="J127" i="1"/>
  <c r="F127" i="1"/>
  <c r="N126" i="1"/>
  <c r="J126" i="1"/>
  <c r="F126" i="1"/>
  <c r="N125" i="1" l="1"/>
  <c r="J125" i="1"/>
  <c r="F125" i="1"/>
  <c r="N124" i="1"/>
  <c r="J124" i="1"/>
  <c r="F124" i="1"/>
  <c r="N123" i="1"/>
  <c r="J123" i="1"/>
  <c r="F123" i="1"/>
  <c r="N122" i="1"/>
  <c r="J122" i="1"/>
  <c r="F122" i="1"/>
  <c r="N121" i="1" l="1"/>
  <c r="K121" i="1"/>
  <c r="J121" i="1"/>
  <c r="G121" i="1"/>
  <c r="N120" i="1"/>
  <c r="K120" i="1"/>
  <c r="J120" i="1"/>
  <c r="G120" i="1"/>
  <c r="N119" i="1"/>
  <c r="K119" i="1"/>
  <c r="J119" i="1"/>
  <c r="G119" i="1"/>
  <c r="N118" i="1"/>
  <c r="K118" i="1"/>
  <c r="J118" i="1"/>
  <c r="G118" i="1"/>
  <c r="N117" i="1"/>
  <c r="K117" i="1"/>
  <c r="J117" i="1"/>
  <c r="G117" i="1"/>
  <c r="N116" i="1"/>
  <c r="K116" i="1"/>
  <c r="J116" i="1"/>
  <c r="G116" i="1"/>
  <c r="N115" i="1"/>
  <c r="K115" i="1"/>
  <c r="J115" i="1"/>
  <c r="G115" i="1"/>
  <c r="N114" i="1"/>
  <c r="K114" i="1"/>
  <c r="J114" i="1"/>
  <c r="G114" i="1"/>
  <c r="N113" i="1"/>
  <c r="K113" i="1"/>
  <c r="J113" i="1"/>
  <c r="G113" i="1"/>
  <c r="N112" i="1"/>
  <c r="K112" i="1"/>
  <c r="J112" i="1"/>
  <c r="G112" i="1"/>
  <c r="N111" i="1"/>
  <c r="K111" i="1"/>
  <c r="J111" i="1"/>
  <c r="G111" i="1"/>
  <c r="N110" i="1"/>
  <c r="K110" i="1"/>
  <c r="J110" i="1"/>
  <c r="G110" i="1"/>
  <c r="N109" i="1"/>
  <c r="K109" i="1"/>
  <c r="J109" i="1"/>
  <c r="G109" i="1"/>
  <c r="N108" i="1"/>
  <c r="K108" i="1"/>
  <c r="J108" i="1"/>
  <c r="G108" i="1"/>
  <c r="N107" i="1"/>
  <c r="J107" i="1"/>
  <c r="F107" i="1"/>
  <c r="N106" i="1"/>
  <c r="J106" i="1"/>
  <c r="F106" i="1"/>
  <c r="N105" i="1"/>
  <c r="J105" i="1"/>
  <c r="D105" i="1"/>
  <c r="F105" i="1" s="1"/>
  <c r="N104" i="1"/>
  <c r="J104" i="1"/>
  <c r="D104" i="1"/>
  <c r="F104" i="1" s="1"/>
  <c r="N103" i="1"/>
  <c r="J103" i="1"/>
  <c r="F103" i="1"/>
  <c r="N102" i="1"/>
  <c r="J102" i="1"/>
  <c r="D102" i="1"/>
  <c r="F102" i="1" s="1"/>
  <c r="N101" i="1"/>
  <c r="J101" i="1"/>
  <c r="D101" i="1"/>
  <c r="F101" i="1" s="1"/>
  <c r="N100" i="1"/>
  <c r="J100" i="1"/>
  <c r="D100" i="1"/>
  <c r="F100" i="1" s="1"/>
  <c r="N99" i="1"/>
  <c r="J99" i="1"/>
  <c r="D99" i="1"/>
  <c r="F99" i="1" s="1"/>
  <c r="N98" i="1"/>
  <c r="J98" i="1"/>
  <c r="F98" i="1"/>
  <c r="N97" i="1"/>
  <c r="J97" i="1"/>
  <c r="F97" i="1"/>
  <c r="N96" i="1"/>
  <c r="J96" i="1"/>
  <c r="D96" i="1"/>
  <c r="F96" i="1" s="1"/>
  <c r="N95" i="1"/>
  <c r="J95" i="1"/>
  <c r="F95" i="1"/>
  <c r="N94" i="1"/>
  <c r="J94" i="1"/>
  <c r="F94" i="1"/>
  <c r="N93" i="1"/>
  <c r="J93" i="1"/>
  <c r="D93" i="1"/>
  <c r="F93" i="1" s="1"/>
  <c r="N92" i="1"/>
  <c r="J92" i="1"/>
  <c r="F92" i="1"/>
  <c r="N91" i="1"/>
  <c r="J91" i="1"/>
  <c r="F91" i="1"/>
  <c r="N90" i="1"/>
  <c r="J90" i="1"/>
  <c r="D90" i="1"/>
  <c r="F90" i="1" s="1"/>
  <c r="N89" i="1"/>
  <c r="J89" i="1"/>
  <c r="F89" i="1"/>
  <c r="N88" i="1"/>
  <c r="J88" i="1"/>
  <c r="F88" i="1"/>
  <c r="N87" i="1"/>
  <c r="J87" i="1"/>
  <c r="D87" i="1"/>
  <c r="F87" i="1" s="1"/>
  <c r="N86" i="1"/>
  <c r="J86" i="1"/>
  <c r="F86" i="1"/>
  <c r="N85" i="1"/>
  <c r="J85" i="1"/>
  <c r="F85" i="1"/>
  <c r="N84" i="1"/>
  <c r="J84" i="1"/>
  <c r="D84" i="1"/>
  <c r="F84" i="1" s="1"/>
  <c r="N83" i="1"/>
  <c r="J83" i="1"/>
  <c r="F83" i="1"/>
  <c r="N82" i="1"/>
  <c r="J82" i="1"/>
  <c r="D82" i="1"/>
  <c r="F82" i="1" s="1"/>
  <c r="N81" i="1"/>
  <c r="J81" i="1"/>
  <c r="D81" i="1"/>
  <c r="F81" i="1" s="1"/>
  <c r="N80" i="1"/>
  <c r="J80" i="1"/>
  <c r="F80" i="1"/>
  <c r="N79" i="1"/>
  <c r="J79" i="1"/>
  <c r="F79" i="1"/>
  <c r="N78" i="1"/>
  <c r="J78" i="1"/>
  <c r="D78" i="1"/>
  <c r="F78" i="1" s="1"/>
  <c r="N77" i="1"/>
  <c r="J77" i="1"/>
  <c r="D77" i="1"/>
  <c r="F77" i="1" s="1"/>
  <c r="N76" i="1"/>
  <c r="J76" i="1"/>
  <c r="F76" i="1"/>
  <c r="N75" i="1"/>
  <c r="J75" i="1"/>
  <c r="F75" i="1"/>
  <c r="N74" i="1" l="1"/>
  <c r="J74" i="1"/>
  <c r="F74" i="1"/>
  <c r="N73" i="1"/>
  <c r="J73" i="1"/>
  <c r="F73" i="1"/>
  <c r="N72" i="1"/>
  <c r="J72" i="1"/>
  <c r="F72" i="1"/>
  <c r="N71" i="1"/>
  <c r="J71" i="1"/>
  <c r="F71" i="1"/>
  <c r="N70" i="1"/>
  <c r="J70" i="1"/>
  <c r="F70" i="1"/>
  <c r="N69" i="1"/>
  <c r="J69" i="1"/>
  <c r="F69" i="1"/>
  <c r="N68" i="1"/>
  <c r="J68" i="1"/>
  <c r="F68" i="1"/>
  <c r="N67" i="1"/>
  <c r="J67" i="1"/>
  <c r="F67" i="1"/>
  <c r="N66" i="1"/>
  <c r="J66" i="1"/>
  <c r="F66" i="1"/>
  <c r="N65" i="1"/>
  <c r="J65" i="1"/>
  <c r="F65" i="1"/>
  <c r="N64" i="1"/>
  <c r="J64" i="1"/>
  <c r="F64" i="1"/>
  <c r="N63" i="1"/>
  <c r="J63" i="1"/>
  <c r="F63" i="1"/>
  <c r="N62" i="1"/>
  <c r="J62" i="1"/>
  <c r="F62" i="1"/>
  <c r="N61" i="1"/>
  <c r="J61" i="1"/>
  <c r="F61" i="1"/>
  <c r="N60" i="1"/>
  <c r="J60" i="1"/>
  <c r="F60" i="1"/>
  <c r="N59" i="1"/>
  <c r="J59" i="1"/>
  <c r="F59" i="1"/>
  <c r="N58" i="1"/>
  <c r="J58" i="1"/>
  <c r="F58" i="1"/>
  <c r="N57" i="1"/>
  <c r="J57" i="1"/>
  <c r="F57" i="1"/>
  <c r="N56" i="1"/>
  <c r="J56" i="1"/>
  <c r="F56" i="1"/>
  <c r="N55" i="1"/>
  <c r="J55" i="1"/>
  <c r="F55" i="1"/>
  <c r="M53" i="1"/>
  <c r="K53" i="1" s="1"/>
  <c r="L53" i="1"/>
  <c r="I53" i="1"/>
  <c r="G53" i="1" s="1"/>
  <c r="H53" i="1"/>
  <c r="F53" i="1"/>
  <c r="M52" i="1"/>
  <c r="K52" i="1" s="1"/>
  <c r="L52" i="1"/>
  <c r="I52" i="1"/>
  <c r="G52" i="1" s="1"/>
  <c r="H52" i="1"/>
  <c r="F52" i="1"/>
  <c r="L51" i="1"/>
  <c r="N51" i="1" s="1"/>
  <c r="K51" i="1"/>
  <c r="H51" i="1"/>
  <c r="J51" i="1" s="1"/>
  <c r="G51" i="1"/>
  <c r="F51" i="1"/>
  <c r="L50" i="1"/>
  <c r="N50" i="1" s="1"/>
  <c r="K50" i="1"/>
  <c r="H50" i="1"/>
  <c r="J50" i="1" s="1"/>
  <c r="G50" i="1"/>
  <c r="F50" i="1"/>
  <c r="L49" i="1"/>
  <c r="N49" i="1" s="1"/>
  <c r="K49" i="1"/>
  <c r="J49" i="1"/>
  <c r="G49" i="1"/>
  <c r="D49" i="1"/>
  <c r="C49" i="1"/>
  <c r="M48" i="1"/>
  <c r="K48" i="1" s="1"/>
  <c r="L48" i="1"/>
  <c r="I48" i="1"/>
  <c r="G48" i="1" s="1"/>
  <c r="H48" i="1"/>
  <c r="F48" i="1"/>
  <c r="M47" i="1"/>
  <c r="K47" i="1" s="1"/>
  <c r="L47" i="1"/>
  <c r="I47" i="1"/>
  <c r="G47" i="1" s="1"/>
  <c r="H47" i="1"/>
  <c r="F47" i="1"/>
  <c r="M46" i="1"/>
  <c r="K46" i="1" s="1"/>
  <c r="L46" i="1"/>
  <c r="I46" i="1"/>
  <c r="G46" i="1" s="1"/>
  <c r="H46" i="1"/>
  <c r="E46" i="1"/>
  <c r="E262" i="1" s="1"/>
  <c r="D46" i="1"/>
  <c r="C46" i="1"/>
  <c r="M45" i="1"/>
  <c r="L45" i="1"/>
  <c r="I45" i="1"/>
  <c r="H45" i="1"/>
  <c r="D45" i="1"/>
  <c r="C45" i="1"/>
  <c r="L44" i="1"/>
  <c r="N44" i="1" s="1"/>
  <c r="K44" i="1"/>
  <c r="H44" i="1"/>
  <c r="J44" i="1" s="1"/>
  <c r="G44" i="1"/>
  <c r="F44" i="1"/>
  <c r="L43" i="1"/>
  <c r="N43" i="1" s="1"/>
  <c r="K43" i="1"/>
  <c r="H43" i="1"/>
  <c r="J43" i="1" s="1"/>
  <c r="G43" i="1"/>
  <c r="F43" i="1"/>
  <c r="L42" i="1"/>
  <c r="N42" i="1" s="1"/>
  <c r="K42" i="1"/>
  <c r="H42" i="1"/>
  <c r="J42" i="1" s="1"/>
  <c r="G42" i="1"/>
  <c r="F42" i="1"/>
  <c r="L41" i="1"/>
  <c r="K41" i="1"/>
  <c r="H41" i="1"/>
  <c r="G41" i="1"/>
  <c r="F41" i="1"/>
  <c r="J22" i="1"/>
  <c r="F22" i="1"/>
  <c r="N21" i="1"/>
  <c r="J21" i="1"/>
  <c r="F21" i="1"/>
  <c r="N20" i="1"/>
  <c r="J20" i="1"/>
  <c r="F20" i="1"/>
  <c r="N19" i="1"/>
  <c r="J19" i="1"/>
  <c r="F19" i="1"/>
  <c r="N18" i="1"/>
  <c r="J18" i="1"/>
  <c r="F18" i="1"/>
  <c r="N17" i="1"/>
  <c r="J17" i="1"/>
  <c r="F17" i="1"/>
  <c r="N16" i="1"/>
  <c r="J16" i="1"/>
  <c r="F16" i="1"/>
  <c r="N15" i="1"/>
  <c r="J15" i="1"/>
  <c r="F15" i="1"/>
  <c r="N14" i="1"/>
  <c r="J14" i="1"/>
  <c r="F14" i="1"/>
  <c r="N13" i="1"/>
  <c r="J13" i="1"/>
  <c r="F13" i="1"/>
  <c r="N12" i="1"/>
  <c r="J12" i="1"/>
  <c r="F12" i="1"/>
  <c r="N11" i="1"/>
  <c r="J11" i="1"/>
  <c r="F11" i="1"/>
  <c r="N10" i="1"/>
  <c r="J10" i="1"/>
  <c r="F10" i="1"/>
  <c r="N9" i="1"/>
  <c r="J9" i="1"/>
  <c r="F9" i="1"/>
  <c r="N8" i="1"/>
  <c r="J8" i="1"/>
  <c r="F8" i="1"/>
  <c r="N7" i="1"/>
  <c r="J7" i="1"/>
  <c r="F7" i="1"/>
  <c r="N6" i="1"/>
  <c r="J6" i="1"/>
  <c r="F6" i="1"/>
  <c r="N5" i="1"/>
  <c r="J5" i="1"/>
  <c r="F5" i="1"/>
  <c r="D262" i="1" l="1"/>
  <c r="K45" i="1"/>
  <c r="M262" i="1"/>
  <c r="J41" i="1"/>
  <c r="H262" i="1"/>
  <c r="K262" i="1"/>
  <c r="G45" i="1"/>
  <c r="G262" i="1" s="1"/>
  <c r="I262" i="1"/>
  <c r="N41" i="1"/>
  <c r="L262" i="1"/>
  <c r="C262" i="1"/>
  <c r="N46" i="1"/>
  <c r="J48" i="1"/>
  <c r="N53" i="1"/>
  <c r="F45" i="1"/>
  <c r="J46" i="1"/>
  <c r="J53" i="1"/>
  <c r="J45" i="1"/>
  <c r="F46" i="1"/>
  <c r="N45" i="1"/>
  <c r="F49" i="1"/>
  <c r="N48" i="1"/>
  <c r="N47" i="1"/>
  <c r="J47" i="1"/>
  <c r="J52" i="1"/>
  <c r="N52" i="1"/>
  <c r="J262" i="1" l="1"/>
  <c r="F262" i="1"/>
  <c r="N262" i="1"/>
</calcChain>
</file>

<file path=xl/sharedStrings.xml><?xml version="1.0" encoding="utf-8"?>
<sst xmlns="http://schemas.openxmlformats.org/spreadsheetml/2006/main" count="1562" uniqueCount="344">
  <si>
    <t>District</t>
  </si>
  <si>
    <t>Site/School Name</t>
  </si>
  <si>
    <t>Site</t>
  </si>
  <si>
    <t>Students</t>
  </si>
  <si>
    <t>% F &amp; R</t>
  </si>
  <si>
    <t>Lunch</t>
  </si>
  <si>
    <t>Free &amp;</t>
  </si>
  <si>
    <t>Total</t>
  </si>
  <si>
    <t>% Total</t>
  </si>
  <si>
    <t>B'fast</t>
  </si>
  <si>
    <t># Free &amp;</t>
  </si>
  <si>
    <t>BIC</t>
  </si>
  <si>
    <t>Grab</t>
  </si>
  <si>
    <t>Area</t>
  </si>
  <si>
    <t>Regular</t>
  </si>
  <si>
    <t>UNIV.</t>
  </si>
  <si>
    <t xml:space="preserve">CEP </t>
  </si>
  <si>
    <t>Enroll-</t>
  </si>
  <si>
    <t>Approved</t>
  </si>
  <si>
    <t>ADP</t>
  </si>
  <si>
    <t>Reduced</t>
  </si>
  <si>
    <t>Number</t>
  </si>
  <si>
    <t>F &amp; R</t>
  </si>
  <si>
    <t>&amp;</t>
  </si>
  <si>
    <t>Eligibile</t>
  </si>
  <si>
    <t>ASSP</t>
  </si>
  <si>
    <t>BKFT</t>
  </si>
  <si>
    <t xml:space="preserve"> </t>
  </si>
  <si>
    <t>ment</t>
  </si>
  <si>
    <t xml:space="preserve">Free </t>
  </si>
  <si>
    <t xml:space="preserve">Reduced </t>
  </si>
  <si>
    <t>Lunches</t>
  </si>
  <si>
    <t>Served</t>
  </si>
  <si>
    <t>Go</t>
  </si>
  <si>
    <t xml:space="preserve">Served </t>
  </si>
  <si>
    <t>High School</t>
  </si>
  <si>
    <t>N/A</t>
  </si>
  <si>
    <t>Y</t>
  </si>
  <si>
    <t>W. T. Chipman Middle</t>
  </si>
  <si>
    <t>Central Elementary</t>
  </si>
  <si>
    <t>East Elementary</t>
  </si>
  <si>
    <t>North Elementary</t>
  </si>
  <si>
    <t>South Elementary</t>
  </si>
  <si>
    <t>Lake Forest</t>
  </si>
  <si>
    <t>Appoquinimink</t>
  </si>
  <si>
    <t>Middletown High</t>
  </si>
  <si>
    <t>Appoquinimink High</t>
  </si>
  <si>
    <t>Everett Meredith Middle</t>
  </si>
  <si>
    <t>Louis L. Redding Middle</t>
  </si>
  <si>
    <t>Alfred G. Waters Middle</t>
  </si>
  <si>
    <t>Silver Lake Elementary</t>
  </si>
  <si>
    <t>Cedar Lane Elementary</t>
  </si>
  <si>
    <t>Olive B. Loss Elementary</t>
  </si>
  <si>
    <t>Brick Mill Elementary</t>
  </si>
  <si>
    <t>Bunker Hill Elementary</t>
  </si>
  <si>
    <t>Old State Elementary</t>
  </si>
  <si>
    <t>Townsend Elementary</t>
  </si>
  <si>
    <t>Cedar Lane ECC</t>
  </si>
  <si>
    <t>Spring Meadow ECC</t>
  </si>
  <si>
    <t>Townsend ECC</t>
  </si>
  <si>
    <t>Appoquinimink Preschool</t>
  </si>
  <si>
    <t>Springer Middle</t>
  </si>
  <si>
    <t>Talley Middle</t>
  </si>
  <si>
    <t>Brandywine High</t>
  </si>
  <si>
    <t>Concord High</t>
  </si>
  <si>
    <t>ECAP</t>
  </si>
  <si>
    <t>Caesar Rodney</t>
  </si>
  <si>
    <t>Caesar Rodney HS</t>
  </si>
  <si>
    <t>NP</t>
  </si>
  <si>
    <t>Fifer MS</t>
  </si>
  <si>
    <t>Postlethwait MS</t>
  </si>
  <si>
    <t>Stokes Elem</t>
  </si>
  <si>
    <t>X</t>
  </si>
  <si>
    <t>x</t>
  </si>
  <si>
    <t>Frear Elem</t>
  </si>
  <si>
    <t>Charlton School</t>
  </si>
  <si>
    <t>Simpson Elem</t>
  </si>
  <si>
    <t>Elementary ILC</t>
  </si>
  <si>
    <t>McIlvaine Elem</t>
  </si>
  <si>
    <t>Brown Elem</t>
  </si>
  <si>
    <t>Star Hill Elem</t>
  </si>
  <si>
    <t>Dover Air Base MS</t>
  </si>
  <si>
    <t>Welch Elem</t>
  </si>
  <si>
    <t>Cape Henlopen</t>
  </si>
  <si>
    <t>Cape Henlopen High School</t>
  </si>
  <si>
    <t>Lewes School</t>
  </si>
  <si>
    <t>Beacon Middle School</t>
  </si>
  <si>
    <t>Richard Shields Elementary</t>
  </si>
  <si>
    <t>Mariner Middle School</t>
  </si>
  <si>
    <t>Milton Elementary School</t>
  </si>
  <si>
    <t>H.O. Brittingham Elementary</t>
  </si>
  <si>
    <t>Rehoboth Elementary</t>
  </si>
  <si>
    <t>Capital</t>
  </si>
  <si>
    <t>Booker T Washington</t>
  </si>
  <si>
    <t>Central Middle School</t>
  </si>
  <si>
    <t>Dover High School</t>
  </si>
  <si>
    <t>East Dover Elementary</t>
  </si>
  <si>
    <t>Fairview elementary</t>
  </si>
  <si>
    <t>Hartly Elementary</t>
  </si>
  <si>
    <t>North Dover Elementary</t>
  </si>
  <si>
    <t>South Dover Elementary</t>
  </si>
  <si>
    <t>Towne Point Elementary</t>
  </si>
  <si>
    <t>Wm. Henry Middle School</t>
  </si>
  <si>
    <t>KCCS</t>
  </si>
  <si>
    <t>ILC</t>
  </si>
  <si>
    <t>Christina</t>
  </si>
  <si>
    <t>Bancroft Elementary</t>
  </si>
  <si>
    <t>Bayard Middle</t>
  </si>
  <si>
    <t>Brader</t>
  </si>
  <si>
    <t>Brennen</t>
  </si>
  <si>
    <t>Brookside</t>
  </si>
  <si>
    <t xml:space="preserve">Christina Early Ed Center </t>
  </si>
  <si>
    <t>Christiana High</t>
  </si>
  <si>
    <t>Douglass Alternative</t>
  </si>
  <si>
    <t>Downes Elementary</t>
  </si>
  <si>
    <t>DSD - DE School for Deaf</t>
  </si>
  <si>
    <t>Gallaher</t>
  </si>
  <si>
    <t>Gauger Cobbs Middle</t>
  </si>
  <si>
    <t>Glasgow High</t>
  </si>
  <si>
    <t>Jones Elementary</t>
  </si>
  <si>
    <t>Keene Elementary</t>
  </si>
  <si>
    <t>Kirk Middle</t>
  </si>
  <si>
    <t>Leasure Elementary</t>
  </si>
  <si>
    <t>Maclary Elementary</t>
  </si>
  <si>
    <t>Marshall Elementary</t>
  </si>
  <si>
    <t>McVey Elementary</t>
  </si>
  <si>
    <t>Networks</t>
  </si>
  <si>
    <t>Newark High</t>
  </si>
  <si>
    <t>Oberle Elememtary</t>
  </si>
  <si>
    <t>Palmer Elementary</t>
  </si>
  <si>
    <t>Pulaski Elementary</t>
  </si>
  <si>
    <t>Sarah Pyle Academy</t>
  </si>
  <si>
    <t>Shue Medill Middle</t>
  </si>
  <si>
    <t>Smith Elementary</t>
  </si>
  <si>
    <t>Stubbs Elementary</t>
  </si>
  <si>
    <t>West Park Elementary</t>
  </si>
  <si>
    <t>Wilson Elementary</t>
  </si>
  <si>
    <t>Colonial</t>
  </si>
  <si>
    <t>Academia</t>
  </si>
  <si>
    <t>Academy of Dover</t>
  </si>
  <si>
    <t>Aspira</t>
  </si>
  <si>
    <t>Branywine</t>
  </si>
  <si>
    <t>Campus Community</t>
  </si>
  <si>
    <t>DAPI</t>
  </si>
  <si>
    <t>DAPSS</t>
  </si>
  <si>
    <t>DE Design Lab</t>
  </si>
  <si>
    <t>Delmar</t>
  </si>
  <si>
    <t>DOC</t>
  </si>
  <si>
    <t>DYRS</t>
  </si>
  <si>
    <t>East Side</t>
  </si>
  <si>
    <t>ECHS</t>
  </si>
  <si>
    <t>Family Foundations</t>
  </si>
  <si>
    <t>First State Military</t>
  </si>
  <si>
    <t>First State Montessori</t>
  </si>
  <si>
    <t>Friere</t>
  </si>
  <si>
    <t>Gateway Lab School</t>
  </si>
  <si>
    <t>Harvest Christian</t>
  </si>
  <si>
    <t>Indian River</t>
  </si>
  <si>
    <t>Islamic Academy</t>
  </si>
  <si>
    <t>Kingswood Academy</t>
  </si>
  <si>
    <t>Laurel</t>
  </si>
  <si>
    <t>Milford</t>
  </si>
  <si>
    <t>MOT</t>
  </si>
  <si>
    <t>Murphey School</t>
  </si>
  <si>
    <t>NCCVT</t>
  </si>
  <si>
    <t>Newark Charter</t>
  </si>
  <si>
    <t>Odyssey Charter</t>
  </si>
  <si>
    <t>Parkway Central</t>
  </si>
  <si>
    <t>Parkway North</t>
  </si>
  <si>
    <t>Polytech</t>
  </si>
  <si>
    <t>Positive Change</t>
  </si>
  <si>
    <t>Positive Outcomes</t>
  </si>
  <si>
    <t>Prestige Academy</t>
  </si>
  <si>
    <t>Providence Creek</t>
  </si>
  <si>
    <t>Red Clay</t>
  </si>
  <si>
    <t>Seaford</t>
  </si>
  <si>
    <t>Silver Lake</t>
  </si>
  <si>
    <t>Smyrna</t>
  </si>
  <si>
    <t>Sussex Academy</t>
  </si>
  <si>
    <t>Sussex Tech</t>
  </si>
  <si>
    <t>Tarbiyah</t>
  </si>
  <si>
    <t>Terry Center</t>
  </si>
  <si>
    <t>Thomas Edison</t>
  </si>
  <si>
    <t>Woodbridge</t>
  </si>
  <si>
    <t>Academia Antonia Alonso</t>
  </si>
  <si>
    <t>Academy of Dover Charter</t>
  </si>
  <si>
    <t>Community Education Building</t>
  </si>
  <si>
    <t xml:space="preserve">Great Oaks Charter </t>
  </si>
  <si>
    <t xml:space="preserve">Kuumba Academy </t>
  </si>
  <si>
    <t>Carrie Downie</t>
  </si>
  <si>
    <t>Castle Hills</t>
  </si>
  <si>
    <t>Pleasanville</t>
  </si>
  <si>
    <t>Wilmington Manor</t>
  </si>
  <si>
    <t>K. H. Wilbur</t>
  </si>
  <si>
    <t>Southern</t>
  </si>
  <si>
    <t>New Castle Middle</t>
  </si>
  <si>
    <t>Eisenberg</t>
  </si>
  <si>
    <t>Gunning Bedford</t>
  </si>
  <si>
    <t>George Read</t>
  </si>
  <si>
    <t>McCullough</t>
  </si>
  <si>
    <t>William Penn</t>
  </si>
  <si>
    <t>Leach</t>
  </si>
  <si>
    <t>The Wallin School</t>
  </si>
  <si>
    <t>Dapi NCC County Site</t>
  </si>
  <si>
    <t>Dapi Kent County Site</t>
  </si>
  <si>
    <t>Dapi Sussex County Site</t>
  </si>
  <si>
    <t>DE Design-Lab High School</t>
  </si>
  <si>
    <t>Delmar School District</t>
  </si>
  <si>
    <t>Baylor Women's Correctional Institution</t>
  </si>
  <si>
    <t>Central Violation of Probation</t>
  </si>
  <si>
    <t>Howard R. Young Correctional Institution</t>
  </si>
  <si>
    <t>James T. Vaughn Correctional Center</t>
  </si>
  <si>
    <t>Morris Community Correctional Center</t>
  </si>
  <si>
    <t>Plummer Center</t>
  </si>
  <si>
    <t>Sussex Correctional Institution</t>
  </si>
  <si>
    <t>Sussex Release and Violation Center</t>
  </si>
  <si>
    <t>Webb Correction</t>
  </si>
  <si>
    <t>Ferris school</t>
  </si>
  <si>
    <t>Stevenson House</t>
  </si>
  <si>
    <t>NCCDC</t>
  </si>
  <si>
    <t>Snowden Cottage</t>
  </si>
  <si>
    <t>Grace Cottage</t>
  </si>
  <si>
    <t>Mowlds Cottage</t>
  </si>
  <si>
    <t>Early College High School</t>
  </si>
  <si>
    <t>FFA ELEMENTARY</t>
  </si>
  <si>
    <t>FFA MIDDLE</t>
  </si>
  <si>
    <t>First State Military Academy</t>
  </si>
  <si>
    <t>First State Montessori Academy</t>
  </si>
  <si>
    <t>Freire Charter School Wilmington</t>
  </si>
  <si>
    <t>Harvest Christian Academy</t>
  </si>
  <si>
    <t>TOTS Program</t>
  </si>
  <si>
    <t>G.W. Carver</t>
  </si>
  <si>
    <t>Long Neck Elementary</t>
  </si>
  <si>
    <t>North Georgetown Elem.</t>
  </si>
  <si>
    <t>John M. Clayton Elem.</t>
  </si>
  <si>
    <t>Lord Baltimore Elem.</t>
  </si>
  <si>
    <t>East Millsboro Elem.</t>
  </si>
  <si>
    <t>Phillip C. Showell</t>
  </si>
  <si>
    <t>Millsboro Middle</t>
  </si>
  <si>
    <t>Selbyville Middle</t>
  </si>
  <si>
    <t>Indian River High</t>
  </si>
  <si>
    <t>Sussex Central High</t>
  </si>
  <si>
    <t>Southern DE School of Arts</t>
  </si>
  <si>
    <t>Howard T. Ennis</t>
  </si>
  <si>
    <t>Georgetown Middle</t>
  </si>
  <si>
    <t>Georgetown Kindergarten</t>
  </si>
  <si>
    <t>Georgetown Elementary</t>
  </si>
  <si>
    <t>KINGSWOOD ACADEMY</t>
  </si>
  <si>
    <t>E.I. Morris</t>
  </si>
  <si>
    <t>Lulu Ross Elementary</t>
  </si>
  <si>
    <t>Benjamin Bannker Elementary</t>
  </si>
  <si>
    <t>Mispillion Elementary</t>
  </si>
  <si>
    <t>Central Academy</t>
  </si>
  <si>
    <t>Milford High School</t>
  </si>
  <si>
    <t>Bradford Cottage</t>
  </si>
  <si>
    <t>Florence Cottage</t>
  </si>
  <si>
    <t>Elizabeth Cottage</t>
  </si>
  <si>
    <t>Sanford Cottage</t>
  </si>
  <si>
    <t>Delcastle</t>
  </si>
  <si>
    <t>Hodgson</t>
  </si>
  <si>
    <t>Howard</t>
  </si>
  <si>
    <t>St.Georges</t>
  </si>
  <si>
    <t>n/a</t>
  </si>
  <si>
    <t>Newark Charter Jr/Sr High</t>
  </si>
  <si>
    <t>Odyssey Charter School Elementary</t>
  </si>
  <si>
    <t>Odyssey Charter School Middle</t>
  </si>
  <si>
    <t>Odyssey Charter School High</t>
  </si>
  <si>
    <t>Parkway Academy Central</t>
  </si>
  <si>
    <t>POLYTECH</t>
  </si>
  <si>
    <t>DE GUIDANCE</t>
  </si>
  <si>
    <t>Positive Outcomes Charter School</t>
  </si>
  <si>
    <t>Providence creek Charter School</t>
  </si>
  <si>
    <t>Forest Oak Elementary</t>
  </si>
  <si>
    <t>Heritage Elementary</t>
  </si>
  <si>
    <t>Highlands Elementary</t>
  </si>
  <si>
    <t>Lewis Elementary</t>
  </si>
  <si>
    <t>Shortlidge Elementary</t>
  </si>
  <si>
    <t>Linden Hill Elementary</t>
  </si>
  <si>
    <t>Baltz Elementary</t>
  </si>
  <si>
    <t>Richardson Park Elem.*</t>
  </si>
  <si>
    <t>Marbrook Elementary</t>
  </si>
  <si>
    <t>Richey Elementary</t>
  </si>
  <si>
    <t>Brandywine Springs</t>
  </si>
  <si>
    <t>Mote Elementary</t>
  </si>
  <si>
    <t>Warner Elementary</t>
  </si>
  <si>
    <t>North Star Elementary</t>
  </si>
  <si>
    <t>Wm.Cooke Elementary</t>
  </si>
  <si>
    <t>A.I. duPont Middle</t>
  </si>
  <si>
    <t>H.B. duPont Middle</t>
  </si>
  <si>
    <t>Skyline Middle</t>
  </si>
  <si>
    <t>Stanton Middle</t>
  </si>
  <si>
    <t>Conrad Sch,. Of Science</t>
  </si>
  <si>
    <t>Dickinson High</t>
  </si>
  <si>
    <t>A.I. High</t>
  </si>
  <si>
    <t>McKean High</t>
  </si>
  <si>
    <t>Cab Calloway Sch. Of Arts</t>
  </si>
  <si>
    <t>Charter Sch. Of Wilm.</t>
  </si>
  <si>
    <t>Meadowood</t>
  </si>
  <si>
    <t>Silver Lake Center</t>
  </si>
  <si>
    <t>Odessa House</t>
  </si>
  <si>
    <t>Middletown RTC</t>
  </si>
  <si>
    <t>Smyrna High School</t>
  </si>
  <si>
    <t>Smyrna Middle School</t>
  </si>
  <si>
    <t>JBM Intermediate</t>
  </si>
  <si>
    <t xml:space="preserve">Clayton Intermediate </t>
  </si>
  <si>
    <t>North Smyrna Elementary</t>
  </si>
  <si>
    <t>Smyrna Elementary</t>
  </si>
  <si>
    <t>Clayton Elementary</t>
  </si>
  <si>
    <t>Sunnyside Elementary</t>
  </si>
  <si>
    <t>Sussex Tech HS</t>
  </si>
  <si>
    <t>Tarbiyah School</t>
  </si>
  <si>
    <t>TERRY CENTER</t>
  </si>
  <si>
    <t xml:space="preserve">Thomas Edison Charter </t>
  </si>
  <si>
    <t>Early Childhood Education</t>
  </si>
  <si>
    <t>Woodbridge Middle School</t>
  </si>
  <si>
    <t>Woodbridge High School</t>
  </si>
  <si>
    <t>Las Americas ASPIRA</t>
  </si>
  <si>
    <t>Hanby Elementary</t>
  </si>
  <si>
    <t>Carrcroft Elementary</t>
  </si>
  <si>
    <t>Forwood Elementary</t>
  </si>
  <si>
    <t>Lancashire Elementary</t>
  </si>
  <si>
    <t>Lombardy Elementary</t>
  </si>
  <si>
    <t>Maple Lane Elementary</t>
  </si>
  <si>
    <t>Claymont Elementary</t>
  </si>
  <si>
    <t>Harlan Elementary</t>
  </si>
  <si>
    <t>PS DuPont Middle</t>
  </si>
  <si>
    <t>Mount Pleasant Elementary</t>
  </si>
  <si>
    <t>Mount Pleasant High</t>
  </si>
  <si>
    <t>Bush- PREK</t>
  </si>
  <si>
    <t>Campus Community School</t>
  </si>
  <si>
    <t>Islamic Academy of Delaware</t>
  </si>
  <si>
    <t>Dunbar Elementary</t>
  </si>
  <si>
    <t>North Laurel Elementary</t>
  </si>
  <si>
    <t>Laurel Middle School</t>
  </si>
  <si>
    <t>Laurel High School</t>
  </si>
  <si>
    <t>MOT Charter K-8 Academy</t>
  </si>
  <si>
    <t>MOT Charter High School</t>
  </si>
  <si>
    <t>West Seaford Elementary</t>
  </si>
  <si>
    <t>Blades Elementary</t>
  </si>
  <si>
    <t>Frederick Douglas Elem</t>
  </si>
  <si>
    <t>Seaford Middle School</t>
  </si>
  <si>
    <t>Seaford High School</t>
  </si>
  <si>
    <t>TOTALS</t>
  </si>
  <si>
    <t>Phillis Wheatley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</si>
</sst>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  <charset val="204"/>
    </font>
    <font>
      <b/>
      <sz val="8"/>
      <name val="Arial"/>
      <family val="2"/>
    </font>
    <font>
      <sz val="6"/>
      <name val="Arial"/>
      <family val="2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0" fontId="3" fillId="0" borderId="9" xfId="0" applyNumberFormat="1" applyFont="1" applyBorder="1" applyAlignment="1">
      <alignment horizontal="center"/>
    </xf>
    <xf numFmtId="164" fontId="3" fillId="0" borderId="9" xfId="0" quotePrefix="1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3" fillId="0" borderId="9" xfId="0" applyFont="1" applyFill="1" applyBorder="1"/>
    <xf numFmtId="0" fontId="3" fillId="0" borderId="9" xfId="0" applyFont="1" applyFill="1" applyBorder="1" applyAlignment="1">
      <alignment horizontal="center"/>
    </xf>
    <xf numFmtId="9" fontId="3" fillId="0" borderId="9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wrapText="1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9" fontId="5" fillId="0" borderId="9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0" fontId="6" fillId="0" borderId="9" xfId="0" applyNumberFormat="1" applyFont="1" applyBorder="1" applyAlignment="1">
      <alignment horizontal="center"/>
    </xf>
    <xf numFmtId="0" fontId="7" fillId="0" borderId="9" xfId="0" applyFont="1" applyBorder="1"/>
    <xf numFmtId="1" fontId="3" fillId="0" borderId="9" xfId="0" applyNumberFormat="1" applyFont="1" applyFill="1" applyBorder="1" applyAlignment="1">
      <alignment horizontal="center"/>
    </xf>
    <xf numFmtId="10" fontId="3" fillId="0" borderId="9" xfId="0" applyNumberFormat="1" applyFont="1" applyFill="1" applyBorder="1" applyAlignment="1">
      <alignment horizontal="center"/>
    </xf>
    <xf numFmtId="1" fontId="3" fillId="0" borderId="9" xfId="1" applyNumberFormat="1" applyFont="1" applyBorder="1" applyAlignment="1">
      <alignment horizontal="center"/>
    </xf>
    <xf numFmtId="0" fontId="2" fillId="0" borderId="0" xfId="0" applyFont="1"/>
    <xf numFmtId="43" fontId="2" fillId="0" borderId="0" xfId="1" applyFont="1"/>
    <xf numFmtId="0" fontId="0" fillId="0" borderId="9" xfId="0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9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4" fillId="0" borderId="9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0" fontId="0" fillId="0" borderId="0" xfId="0" applyNumberFormat="1"/>
    <xf numFmtId="0" fontId="3" fillId="7" borderId="9" xfId="0" applyFont="1" applyFill="1" applyBorder="1"/>
    <xf numFmtId="0" fontId="3" fillId="7" borderId="9" xfId="0" applyFont="1" applyFill="1" applyBorder="1" applyAlignment="1">
      <alignment horizontal="center"/>
    </xf>
    <xf numFmtId="10" fontId="3" fillId="7" borderId="9" xfId="0" applyNumberFormat="1" applyFont="1" applyFill="1" applyBorder="1" applyAlignment="1">
      <alignment horizontal="center"/>
    </xf>
    <xf numFmtId="1" fontId="3" fillId="7" borderId="9" xfId="0" applyNumberFormat="1" applyFont="1" applyFill="1" applyBorder="1" applyAlignment="1">
      <alignment horizontal="center"/>
    </xf>
    <xf numFmtId="9" fontId="3" fillId="7" borderId="9" xfId="0" applyNumberFormat="1" applyFont="1" applyFill="1" applyBorder="1" applyAlignment="1">
      <alignment horizontal="center"/>
    </xf>
    <xf numFmtId="10" fontId="2" fillId="0" borderId="0" xfId="1" applyNumberFormat="1" applyFont="1" applyAlignment="1">
      <alignment horizontal="center"/>
    </xf>
    <xf numFmtId="9" fontId="2" fillId="0" borderId="0" xfId="1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8" borderId="10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65"/>
  <sheetViews>
    <sheetView tabSelected="1" zoomScale="98" zoomScaleNormal="98" workbookViewId="0">
      <pane xSplit="1" ySplit="4" topLeftCell="B5" activePane="bottomRight" state="frozen"/>
      <selection pane="topRight" activeCell="B1" sqref="B1"/>
      <selection pane="bottomLeft" activeCell="A9" sqref="A9"/>
      <selection pane="bottomRight" activeCell="B11" sqref="B11"/>
    </sheetView>
  </sheetViews>
  <sheetFormatPr baseColWidth="10" defaultColWidth="8.83203125" defaultRowHeight="15"/>
  <cols>
    <col min="1" max="1" width="23.33203125" style="12" customWidth="1"/>
    <col min="2" max="2" width="19.5" customWidth="1"/>
    <col min="3" max="3" width="12.33203125" bestFit="1" customWidth="1"/>
    <col min="4" max="4" width="11.1640625" bestFit="1" customWidth="1"/>
    <col min="5" max="5" width="10" bestFit="1" customWidth="1"/>
    <col min="6" max="6" width="16.5" customWidth="1"/>
    <col min="7" max="7" width="11.1640625" bestFit="1" customWidth="1"/>
    <col min="8" max="9" width="13.83203125" bestFit="1" customWidth="1"/>
    <col min="11" max="11" width="11.1640625" bestFit="1" customWidth="1"/>
    <col min="12" max="13" width="12.33203125" bestFit="1" customWidth="1"/>
  </cols>
  <sheetData>
    <row r="1" spans="1:20">
      <c r="A1" s="65" t="s">
        <v>0</v>
      </c>
      <c r="B1" s="34" t="s">
        <v>1</v>
      </c>
      <c r="C1" s="35" t="s">
        <v>2</v>
      </c>
      <c r="D1" s="36" t="s">
        <v>3</v>
      </c>
      <c r="E1" s="34" t="s">
        <v>3</v>
      </c>
      <c r="F1" s="35" t="s">
        <v>4</v>
      </c>
      <c r="G1" s="37" t="s">
        <v>5</v>
      </c>
      <c r="H1" s="38" t="s">
        <v>6</v>
      </c>
      <c r="I1" s="39" t="s">
        <v>7</v>
      </c>
      <c r="J1" s="39" t="s">
        <v>8</v>
      </c>
      <c r="K1" s="30" t="s">
        <v>9</v>
      </c>
      <c r="L1" s="40" t="s">
        <v>10</v>
      </c>
      <c r="M1" s="41" t="s">
        <v>7</v>
      </c>
      <c r="N1" s="30" t="s">
        <v>8</v>
      </c>
      <c r="O1" s="30" t="s">
        <v>11</v>
      </c>
      <c r="P1" s="30" t="s">
        <v>12</v>
      </c>
      <c r="Q1" s="42" t="s">
        <v>13</v>
      </c>
      <c r="R1" s="43" t="s">
        <v>14</v>
      </c>
      <c r="S1" s="44" t="s">
        <v>15</v>
      </c>
      <c r="T1" s="31" t="s">
        <v>16</v>
      </c>
    </row>
    <row r="2" spans="1:20">
      <c r="A2" s="65"/>
      <c r="B2" s="34"/>
      <c r="C2" s="35" t="s">
        <v>17</v>
      </c>
      <c r="D2" s="36" t="s">
        <v>18</v>
      </c>
      <c r="E2" s="34" t="s">
        <v>18</v>
      </c>
      <c r="F2" s="35"/>
      <c r="G2" s="37" t="s">
        <v>19</v>
      </c>
      <c r="H2" s="38" t="s">
        <v>20</v>
      </c>
      <c r="I2" s="39" t="s">
        <v>21</v>
      </c>
      <c r="J2" s="39" t="s">
        <v>22</v>
      </c>
      <c r="K2" s="30" t="s">
        <v>19</v>
      </c>
      <c r="L2" s="40" t="s">
        <v>20</v>
      </c>
      <c r="M2" s="41" t="s">
        <v>9</v>
      </c>
      <c r="N2" s="30" t="s">
        <v>22</v>
      </c>
      <c r="O2" s="30"/>
      <c r="P2" s="30" t="s">
        <v>23</v>
      </c>
      <c r="Q2" s="43" t="s">
        <v>24</v>
      </c>
      <c r="R2" s="43" t="s">
        <v>25</v>
      </c>
      <c r="S2" s="44" t="s">
        <v>26</v>
      </c>
      <c r="T2" s="32" t="s">
        <v>27</v>
      </c>
    </row>
    <row r="3" spans="1:20">
      <c r="A3" s="65"/>
      <c r="B3" s="34"/>
      <c r="C3" s="35" t="s">
        <v>28</v>
      </c>
      <c r="D3" s="36" t="s">
        <v>29</v>
      </c>
      <c r="E3" s="34" t="s">
        <v>30</v>
      </c>
      <c r="F3" s="35"/>
      <c r="G3" s="37"/>
      <c r="H3" s="38" t="s">
        <v>31</v>
      </c>
      <c r="I3" s="39" t="s">
        <v>31</v>
      </c>
      <c r="J3" s="39" t="s">
        <v>31</v>
      </c>
      <c r="K3" s="30"/>
      <c r="L3" s="40" t="s">
        <v>9</v>
      </c>
      <c r="M3" s="41" t="s">
        <v>32</v>
      </c>
      <c r="N3" s="30" t="s">
        <v>9</v>
      </c>
      <c r="O3" s="30"/>
      <c r="P3" s="30" t="s">
        <v>33</v>
      </c>
      <c r="Q3" s="43" t="s">
        <v>25</v>
      </c>
      <c r="R3" s="43"/>
      <c r="S3" s="44" t="s">
        <v>27</v>
      </c>
      <c r="T3" s="32" t="s">
        <v>27</v>
      </c>
    </row>
    <row r="4" spans="1:20">
      <c r="A4" s="65"/>
      <c r="B4" s="34"/>
      <c r="C4" s="35"/>
      <c r="D4" s="36"/>
      <c r="E4" s="34"/>
      <c r="F4" s="35"/>
      <c r="G4" s="37"/>
      <c r="H4" s="38" t="s">
        <v>34</v>
      </c>
      <c r="I4" s="39" t="s">
        <v>32</v>
      </c>
      <c r="J4" s="39" t="s">
        <v>32</v>
      </c>
      <c r="K4" s="45"/>
      <c r="L4" s="46" t="s">
        <v>32</v>
      </c>
      <c r="M4" s="47"/>
      <c r="N4" s="45" t="s">
        <v>32</v>
      </c>
      <c r="O4" s="45"/>
      <c r="P4" s="45"/>
      <c r="Q4" s="48"/>
      <c r="R4" s="48"/>
      <c r="S4" s="49"/>
      <c r="T4" s="33" t="s">
        <v>27</v>
      </c>
    </row>
    <row r="5" spans="1:20">
      <c r="A5" s="50" t="s">
        <v>184</v>
      </c>
      <c r="B5" s="1" t="s">
        <v>138</v>
      </c>
      <c r="C5" s="2">
        <v>415</v>
      </c>
      <c r="D5" s="2">
        <v>388</v>
      </c>
      <c r="E5" s="2"/>
      <c r="F5" s="5">
        <f t="shared" ref="F5:F22" si="0">SUM(D5+E5)/C5</f>
        <v>0.93493975903614457</v>
      </c>
      <c r="G5" s="4">
        <v>397</v>
      </c>
      <c r="H5" s="2">
        <v>7787</v>
      </c>
      <c r="I5" s="2">
        <v>8337</v>
      </c>
      <c r="J5" s="3">
        <f t="shared" ref="J5" si="1">SUM(H5/I5)</f>
        <v>0.93402902722801973</v>
      </c>
      <c r="K5" s="4">
        <v>361</v>
      </c>
      <c r="L5" s="2">
        <v>7081</v>
      </c>
      <c r="M5" s="2">
        <v>7581</v>
      </c>
      <c r="N5" s="5">
        <f t="shared" ref="N5" si="2">SUM(L5/M5)</f>
        <v>0.93404564041683158</v>
      </c>
      <c r="O5" s="5"/>
      <c r="P5" s="5" t="s">
        <v>73</v>
      </c>
      <c r="Q5" s="2" t="s">
        <v>36</v>
      </c>
      <c r="R5" s="2" t="s">
        <v>36</v>
      </c>
      <c r="S5" s="2" t="s">
        <v>36</v>
      </c>
      <c r="T5" s="7" t="s">
        <v>72</v>
      </c>
    </row>
    <row r="6" spans="1:20">
      <c r="A6" s="50" t="s">
        <v>139</v>
      </c>
      <c r="B6" s="1" t="s">
        <v>185</v>
      </c>
      <c r="C6" s="2">
        <v>249</v>
      </c>
      <c r="D6" s="2">
        <v>249</v>
      </c>
      <c r="E6" s="2">
        <v>0</v>
      </c>
      <c r="F6" s="5">
        <f t="shared" si="0"/>
        <v>1</v>
      </c>
      <c r="G6" s="4">
        <v>216</v>
      </c>
      <c r="H6" s="2">
        <v>4322</v>
      </c>
      <c r="I6" s="2">
        <v>4322</v>
      </c>
      <c r="J6" s="3">
        <f>SUM(H6/I6)</f>
        <v>1</v>
      </c>
      <c r="K6" s="4">
        <v>190</v>
      </c>
      <c r="L6" s="2">
        <v>3814</v>
      </c>
      <c r="M6" s="2">
        <v>3814</v>
      </c>
      <c r="N6" s="5">
        <f>SUM(L6/M6)</f>
        <v>1</v>
      </c>
      <c r="O6" s="5" t="s">
        <v>36</v>
      </c>
      <c r="P6" s="5" t="s">
        <v>36</v>
      </c>
      <c r="Q6" s="2" t="s">
        <v>36</v>
      </c>
      <c r="R6" s="2" t="s">
        <v>36</v>
      </c>
      <c r="S6" s="2" t="s">
        <v>36</v>
      </c>
      <c r="T6" s="6" t="s">
        <v>72</v>
      </c>
    </row>
    <row r="7" spans="1:20">
      <c r="A7" s="51" t="s">
        <v>44</v>
      </c>
      <c r="B7" s="1" t="s">
        <v>45</v>
      </c>
      <c r="C7" s="2">
        <v>1508</v>
      </c>
      <c r="D7" s="2">
        <v>333</v>
      </c>
      <c r="E7" s="2">
        <v>47</v>
      </c>
      <c r="F7" s="5">
        <f t="shared" si="0"/>
        <v>0.25198938992042441</v>
      </c>
      <c r="G7" s="4">
        <v>749</v>
      </c>
      <c r="H7" s="2">
        <v>4015</v>
      </c>
      <c r="I7" s="8">
        <v>14226</v>
      </c>
      <c r="J7" s="3">
        <f>SUM(H7/I7)</f>
        <v>0.28222972023056375</v>
      </c>
      <c r="K7" s="4">
        <v>118</v>
      </c>
      <c r="L7" s="2">
        <v>1140</v>
      </c>
      <c r="M7" s="8">
        <v>2237</v>
      </c>
      <c r="N7" s="5">
        <f>SUM(L7/M7)</f>
        <v>0.50961108627626284</v>
      </c>
      <c r="O7" s="5" t="s">
        <v>36</v>
      </c>
      <c r="P7" s="5" t="s">
        <v>36</v>
      </c>
      <c r="Q7" s="2" t="s">
        <v>36</v>
      </c>
      <c r="R7" s="2" t="s">
        <v>36</v>
      </c>
      <c r="S7" s="2" t="s">
        <v>36</v>
      </c>
      <c r="T7" s="6" t="s">
        <v>36</v>
      </c>
    </row>
    <row r="8" spans="1:20">
      <c r="A8" s="51" t="s">
        <v>44</v>
      </c>
      <c r="B8" s="1" t="s">
        <v>46</v>
      </c>
      <c r="C8" s="2">
        <v>1636</v>
      </c>
      <c r="D8" s="2">
        <v>305</v>
      </c>
      <c r="E8" s="2">
        <v>55</v>
      </c>
      <c r="F8" s="5">
        <f t="shared" si="0"/>
        <v>0.22004889975550121</v>
      </c>
      <c r="G8" s="4">
        <v>710</v>
      </c>
      <c r="H8" s="2">
        <v>3811</v>
      </c>
      <c r="I8" s="8">
        <v>13499</v>
      </c>
      <c r="J8" s="3">
        <f t="shared" ref="J8:J22" si="3">SUM(H8/I8)</f>
        <v>0.28231720868212462</v>
      </c>
      <c r="K8" s="4">
        <v>142</v>
      </c>
      <c r="L8" s="2">
        <v>1447</v>
      </c>
      <c r="M8" s="8">
        <v>2693</v>
      </c>
      <c r="N8" s="5">
        <f t="shared" ref="N8:N21" si="4">SUM(L8/M8)</f>
        <v>0.53731897512068327</v>
      </c>
      <c r="O8" s="5" t="s">
        <v>36</v>
      </c>
      <c r="P8" s="5" t="s">
        <v>36</v>
      </c>
      <c r="Q8" s="2" t="s">
        <v>36</v>
      </c>
      <c r="R8" s="2" t="s">
        <v>36</v>
      </c>
      <c r="S8" s="2" t="s">
        <v>36</v>
      </c>
      <c r="T8" s="7" t="s">
        <v>36</v>
      </c>
    </row>
    <row r="9" spans="1:20">
      <c r="A9" s="51" t="s">
        <v>44</v>
      </c>
      <c r="B9" s="1" t="s">
        <v>47</v>
      </c>
      <c r="C9" s="2">
        <v>865</v>
      </c>
      <c r="D9" s="2">
        <v>253</v>
      </c>
      <c r="E9" s="2">
        <v>28</v>
      </c>
      <c r="F9" s="5">
        <f t="shared" si="0"/>
        <v>0.32485549132947977</v>
      </c>
      <c r="G9" s="4">
        <v>467</v>
      </c>
      <c r="H9" s="2">
        <v>3373</v>
      </c>
      <c r="I9" s="8">
        <v>8871</v>
      </c>
      <c r="J9" s="3">
        <f t="shared" si="3"/>
        <v>0.38022770826287905</v>
      </c>
      <c r="K9" s="4">
        <v>56</v>
      </c>
      <c r="L9" s="2">
        <v>666</v>
      </c>
      <c r="M9" s="8">
        <v>1070</v>
      </c>
      <c r="N9" s="5">
        <f t="shared" si="4"/>
        <v>0.6224299065420561</v>
      </c>
      <c r="O9" s="5" t="s">
        <v>36</v>
      </c>
      <c r="P9" s="5" t="s">
        <v>36</v>
      </c>
      <c r="Q9" s="2" t="s">
        <v>36</v>
      </c>
      <c r="R9" s="2" t="s">
        <v>36</v>
      </c>
      <c r="S9" s="2" t="s">
        <v>36</v>
      </c>
      <c r="T9" s="7" t="s">
        <v>36</v>
      </c>
    </row>
    <row r="10" spans="1:20">
      <c r="A10" s="51" t="s">
        <v>44</v>
      </c>
      <c r="B10" s="1" t="s">
        <v>48</v>
      </c>
      <c r="C10" s="2">
        <v>849</v>
      </c>
      <c r="D10" s="2">
        <v>236</v>
      </c>
      <c r="E10" s="2">
        <v>37</v>
      </c>
      <c r="F10" s="5">
        <f t="shared" si="0"/>
        <v>0.32155477031802121</v>
      </c>
      <c r="G10" s="4">
        <v>502</v>
      </c>
      <c r="H10" s="2">
        <v>3581</v>
      </c>
      <c r="I10" s="8">
        <v>9541</v>
      </c>
      <c r="J10" s="3">
        <f t="shared" si="3"/>
        <v>0.37532753380148831</v>
      </c>
      <c r="K10" s="4">
        <v>91</v>
      </c>
      <c r="L10" s="2">
        <v>1120</v>
      </c>
      <c r="M10" s="8">
        <v>1727</v>
      </c>
      <c r="N10" s="5">
        <f t="shared" si="4"/>
        <v>0.64852345107122178</v>
      </c>
      <c r="O10" s="5" t="s">
        <v>36</v>
      </c>
      <c r="P10" s="5" t="s">
        <v>36</v>
      </c>
      <c r="Q10" s="2" t="s">
        <v>36</v>
      </c>
      <c r="R10" s="2" t="s">
        <v>36</v>
      </c>
      <c r="S10" s="2" t="s">
        <v>36</v>
      </c>
      <c r="T10" s="7" t="s">
        <v>36</v>
      </c>
    </row>
    <row r="11" spans="1:20">
      <c r="A11" s="51" t="s">
        <v>44</v>
      </c>
      <c r="B11" s="1" t="s">
        <v>49</v>
      </c>
      <c r="C11" s="2">
        <v>967</v>
      </c>
      <c r="D11" s="2">
        <v>98</v>
      </c>
      <c r="E11" s="2">
        <v>17</v>
      </c>
      <c r="F11" s="5">
        <f t="shared" si="0"/>
        <v>0.11892450879007239</v>
      </c>
      <c r="G11" s="4">
        <v>405</v>
      </c>
      <c r="H11" s="2">
        <v>1264</v>
      </c>
      <c r="I11" s="8">
        <v>7704</v>
      </c>
      <c r="J11" s="3">
        <f t="shared" si="3"/>
        <v>0.16407061266874351</v>
      </c>
      <c r="K11" s="4">
        <v>20</v>
      </c>
      <c r="L11" s="2">
        <v>179</v>
      </c>
      <c r="M11" s="2">
        <v>384</v>
      </c>
      <c r="N11" s="5">
        <f t="shared" si="4"/>
        <v>0.46614583333333331</v>
      </c>
      <c r="O11" s="5" t="s">
        <v>36</v>
      </c>
      <c r="P11" s="5" t="s">
        <v>36</v>
      </c>
      <c r="Q11" s="2" t="s">
        <v>36</v>
      </c>
      <c r="R11" s="2" t="s">
        <v>36</v>
      </c>
      <c r="S11" s="2" t="s">
        <v>36</v>
      </c>
      <c r="T11" s="7" t="s">
        <v>36</v>
      </c>
    </row>
    <row r="12" spans="1:20">
      <c r="A12" s="51" t="s">
        <v>44</v>
      </c>
      <c r="B12" s="1" t="s">
        <v>50</v>
      </c>
      <c r="C12" s="2">
        <v>505</v>
      </c>
      <c r="D12" s="2">
        <v>206</v>
      </c>
      <c r="E12" s="2">
        <v>21</v>
      </c>
      <c r="F12" s="5">
        <f t="shared" si="0"/>
        <v>0.44950495049504952</v>
      </c>
      <c r="G12" s="4">
        <v>318</v>
      </c>
      <c r="H12" s="2">
        <v>3289</v>
      </c>
      <c r="I12" s="8">
        <v>6037</v>
      </c>
      <c r="J12" s="3">
        <f t="shared" si="3"/>
        <v>0.54480702335597153</v>
      </c>
      <c r="K12" s="4">
        <v>119</v>
      </c>
      <c r="L12" s="2">
        <v>1457</v>
      </c>
      <c r="M12" s="8">
        <v>2270</v>
      </c>
      <c r="N12" s="5">
        <f t="shared" si="4"/>
        <v>0.64185022026431715</v>
      </c>
      <c r="O12" s="5" t="s">
        <v>36</v>
      </c>
      <c r="P12" s="5" t="s">
        <v>36</v>
      </c>
      <c r="Q12" s="2" t="s">
        <v>36</v>
      </c>
      <c r="R12" s="2" t="s">
        <v>36</v>
      </c>
      <c r="S12" s="2" t="s">
        <v>36</v>
      </c>
      <c r="T12" s="7" t="s">
        <v>36</v>
      </c>
    </row>
    <row r="13" spans="1:20">
      <c r="A13" s="51" t="s">
        <v>44</v>
      </c>
      <c r="B13" s="1" t="s">
        <v>51</v>
      </c>
      <c r="C13" s="2">
        <v>706</v>
      </c>
      <c r="D13" s="2">
        <v>91</v>
      </c>
      <c r="E13" s="2">
        <v>17</v>
      </c>
      <c r="F13" s="5">
        <f t="shared" si="0"/>
        <v>0.15297450424929179</v>
      </c>
      <c r="G13" s="4">
        <v>292</v>
      </c>
      <c r="H13" s="2">
        <v>1287</v>
      </c>
      <c r="I13" s="8">
        <v>5554</v>
      </c>
      <c r="J13" s="3">
        <f t="shared" si="3"/>
        <v>0.23172488296723082</v>
      </c>
      <c r="K13" s="4">
        <v>78</v>
      </c>
      <c r="L13" s="2">
        <v>576</v>
      </c>
      <c r="M13" s="8">
        <v>1490</v>
      </c>
      <c r="N13" s="5">
        <f t="shared" si="4"/>
        <v>0.38657718120805368</v>
      </c>
      <c r="O13" s="5" t="s">
        <v>36</v>
      </c>
      <c r="P13" s="5" t="s">
        <v>36</v>
      </c>
      <c r="Q13" s="2" t="s">
        <v>36</v>
      </c>
      <c r="R13" s="2" t="s">
        <v>36</v>
      </c>
      <c r="S13" s="2" t="s">
        <v>36</v>
      </c>
      <c r="T13" s="7" t="s">
        <v>36</v>
      </c>
    </row>
    <row r="14" spans="1:20">
      <c r="A14" s="51" t="s">
        <v>44</v>
      </c>
      <c r="B14" s="1" t="s">
        <v>52</v>
      </c>
      <c r="C14" s="2">
        <v>631</v>
      </c>
      <c r="D14" s="2">
        <v>66</v>
      </c>
      <c r="E14" s="2">
        <v>9</v>
      </c>
      <c r="F14" s="5">
        <f t="shared" si="0"/>
        <v>0.11885895404120443</v>
      </c>
      <c r="G14" s="4">
        <v>348</v>
      </c>
      <c r="H14" s="2">
        <v>892</v>
      </c>
      <c r="I14" s="8">
        <v>6603</v>
      </c>
      <c r="J14" s="3">
        <f t="shared" si="3"/>
        <v>0.13509011055580797</v>
      </c>
      <c r="K14" s="4">
        <v>64</v>
      </c>
      <c r="L14" s="2">
        <v>418</v>
      </c>
      <c r="M14" s="8">
        <v>1216</v>
      </c>
      <c r="N14" s="5">
        <f t="shared" si="4"/>
        <v>0.34375</v>
      </c>
      <c r="O14" s="5" t="s">
        <v>36</v>
      </c>
      <c r="P14" s="5" t="s">
        <v>36</v>
      </c>
      <c r="Q14" s="2" t="s">
        <v>36</v>
      </c>
      <c r="R14" s="2" t="s">
        <v>36</v>
      </c>
      <c r="S14" s="2" t="s">
        <v>36</v>
      </c>
      <c r="T14" s="7" t="s">
        <v>36</v>
      </c>
    </row>
    <row r="15" spans="1:20">
      <c r="A15" s="51" t="s">
        <v>44</v>
      </c>
      <c r="B15" s="1" t="s">
        <v>53</v>
      </c>
      <c r="C15" s="2">
        <v>523</v>
      </c>
      <c r="D15" s="2">
        <v>181</v>
      </c>
      <c r="E15" s="2">
        <v>23</v>
      </c>
      <c r="F15" s="5">
        <f t="shared" si="0"/>
        <v>0.39005736137667302</v>
      </c>
      <c r="G15" s="4">
        <v>317</v>
      </c>
      <c r="H15" s="2">
        <v>2769</v>
      </c>
      <c r="I15" s="8">
        <v>6030</v>
      </c>
      <c r="J15" s="3">
        <f t="shared" si="3"/>
        <v>0.45920398009950247</v>
      </c>
      <c r="K15" s="4">
        <v>137</v>
      </c>
      <c r="L15" s="2">
        <v>1765</v>
      </c>
      <c r="M15" s="8">
        <v>2604</v>
      </c>
      <c r="N15" s="5">
        <f t="shared" si="4"/>
        <v>0.67780337941628266</v>
      </c>
      <c r="O15" s="5" t="s">
        <v>36</v>
      </c>
      <c r="P15" s="5" t="s">
        <v>36</v>
      </c>
      <c r="Q15" s="2" t="s">
        <v>36</v>
      </c>
      <c r="R15" s="2" t="s">
        <v>36</v>
      </c>
      <c r="S15" s="2" t="s">
        <v>36</v>
      </c>
      <c r="T15" s="7" t="s">
        <v>36</v>
      </c>
    </row>
    <row r="16" spans="1:20">
      <c r="A16" s="51" t="s">
        <v>44</v>
      </c>
      <c r="B16" s="1" t="s">
        <v>54</v>
      </c>
      <c r="C16" s="2">
        <v>575</v>
      </c>
      <c r="D16" s="2">
        <v>164</v>
      </c>
      <c r="E16" s="2">
        <v>24</v>
      </c>
      <c r="F16" s="5">
        <f t="shared" si="0"/>
        <v>0.32695652173913042</v>
      </c>
      <c r="G16" s="4">
        <v>308</v>
      </c>
      <c r="H16" s="2">
        <v>2473</v>
      </c>
      <c r="I16" s="8">
        <v>5860</v>
      </c>
      <c r="J16" s="3">
        <f t="shared" si="3"/>
        <v>0.42201365187713313</v>
      </c>
      <c r="K16" s="4">
        <v>106</v>
      </c>
      <c r="L16" s="2">
        <v>1149</v>
      </c>
      <c r="M16" s="8">
        <v>2013</v>
      </c>
      <c r="N16" s="5">
        <f t="shared" si="4"/>
        <v>0.57078986587183311</v>
      </c>
      <c r="O16" s="5" t="s">
        <v>36</v>
      </c>
      <c r="P16" s="5" t="s">
        <v>36</v>
      </c>
      <c r="Q16" s="2" t="s">
        <v>36</v>
      </c>
      <c r="R16" s="2" t="s">
        <v>36</v>
      </c>
      <c r="S16" s="2" t="s">
        <v>36</v>
      </c>
      <c r="T16" s="7" t="s">
        <v>36</v>
      </c>
    </row>
    <row r="17" spans="1:20">
      <c r="A17" s="51" t="s">
        <v>44</v>
      </c>
      <c r="B17" s="1" t="s">
        <v>55</v>
      </c>
      <c r="C17" s="2">
        <v>669</v>
      </c>
      <c r="D17" s="2">
        <v>136</v>
      </c>
      <c r="E17" s="2">
        <v>15</v>
      </c>
      <c r="F17" s="5">
        <f t="shared" si="0"/>
        <v>0.22571001494768311</v>
      </c>
      <c r="G17" s="4">
        <v>338</v>
      </c>
      <c r="H17" s="2">
        <v>1936</v>
      </c>
      <c r="I17" s="8">
        <v>6419</v>
      </c>
      <c r="J17" s="3">
        <f t="shared" si="3"/>
        <v>0.30160461131017291</v>
      </c>
      <c r="K17" s="4">
        <v>86</v>
      </c>
      <c r="L17" s="2">
        <v>703</v>
      </c>
      <c r="M17" s="8">
        <v>1641</v>
      </c>
      <c r="N17" s="5">
        <f t="shared" si="4"/>
        <v>0.42839731870810482</v>
      </c>
      <c r="O17" s="5" t="s">
        <v>36</v>
      </c>
      <c r="P17" s="5" t="s">
        <v>36</v>
      </c>
      <c r="Q17" s="2" t="s">
        <v>36</v>
      </c>
      <c r="R17" s="2" t="s">
        <v>36</v>
      </c>
      <c r="S17" s="2" t="s">
        <v>36</v>
      </c>
      <c r="T17" s="7" t="s">
        <v>36</v>
      </c>
    </row>
    <row r="18" spans="1:20">
      <c r="A18" s="51" t="s">
        <v>44</v>
      </c>
      <c r="B18" s="1" t="s">
        <v>56</v>
      </c>
      <c r="C18" s="2">
        <v>408</v>
      </c>
      <c r="D18" s="2">
        <v>139</v>
      </c>
      <c r="E18" s="2">
        <v>8</v>
      </c>
      <c r="F18" s="5">
        <f t="shared" si="0"/>
        <v>0.36029411764705882</v>
      </c>
      <c r="G18" s="4">
        <v>264</v>
      </c>
      <c r="H18" s="2">
        <v>1946</v>
      </c>
      <c r="I18" s="8">
        <v>5024</v>
      </c>
      <c r="J18" s="3">
        <f t="shared" si="3"/>
        <v>0.38734076433121017</v>
      </c>
      <c r="K18" s="4">
        <v>60</v>
      </c>
      <c r="L18" s="2">
        <v>591</v>
      </c>
      <c r="M18" s="8">
        <v>1148</v>
      </c>
      <c r="N18" s="5">
        <f t="shared" si="4"/>
        <v>0.51480836236933802</v>
      </c>
      <c r="O18" s="5" t="s">
        <v>36</v>
      </c>
      <c r="P18" s="5" t="s">
        <v>36</v>
      </c>
      <c r="Q18" s="2" t="s">
        <v>36</v>
      </c>
      <c r="R18" s="2" t="s">
        <v>36</v>
      </c>
      <c r="S18" s="2" t="s">
        <v>36</v>
      </c>
      <c r="T18" s="7" t="s">
        <v>36</v>
      </c>
    </row>
    <row r="19" spans="1:20">
      <c r="A19" s="51" t="s">
        <v>44</v>
      </c>
      <c r="B19" s="1" t="s">
        <v>57</v>
      </c>
      <c r="C19" s="2">
        <v>237</v>
      </c>
      <c r="D19" s="2">
        <v>40</v>
      </c>
      <c r="E19" s="2">
        <v>6</v>
      </c>
      <c r="F19" s="5">
        <f t="shared" si="0"/>
        <v>0.1940928270042194</v>
      </c>
      <c r="G19" s="4">
        <v>107</v>
      </c>
      <c r="H19" s="2">
        <v>558</v>
      </c>
      <c r="I19" s="8">
        <v>2034</v>
      </c>
      <c r="J19" s="3">
        <f t="shared" si="3"/>
        <v>0.27433628318584069</v>
      </c>
      <c r="K19" s="4">
        <v>30</v>
      </c>
      <c r="L19" s="2">
        <v>200</v>
      </c>
      <c r="M19" s="2">
        <v>574</v>
      </c>
      <c r="N19" s="5">
        <f t="shared" si="4"/>
        <v>0.34843205574912894</v>
      </c>
      <c r="O19" s="5" t="s">
        <v>36</v>
      </c>
      <c r="P19" s="5" t="s">
        <v>36</v>
      </c>
      <c r="Q19" s="2" t="s">
        <v>36</v>
      </c>
      <c r="R19" s="2" t="s">
        <v>36</v>
      </c>
      <c r="S19" s="2" t="s">
        <v>36</v>
      </c>
      <c r="T19" s="7" t="s">
        <v>36</v>
      </c>
    </row>
    <row r="20" spans="1:20">
      <c r="A20" s="51" t="s">
        <v>44</v>
      </c>
      <c r="B20" s="1" t="s">
        <v>58</v>
      </c>
      <c r="C20" s="2">
        <v>236</v>
      </c>
      <c r="D20" s="2">
        <v>46</v>
      </c>
      <c r="E20" s="2">
        <v>6</v>
      </c>
      <c r="F20" s="5">
        <f t="shared" si="0"/>
        <v>0.22033898305084745</v>
      </c>
      <c r="G20" s="4">
        <v>97</v>
      </c>
      <c r="H20" s="2">
        <v>608</v>
      </c>
      <c r="I20" s="8">
        <v>1835</v>
      </c>
      <c r="J20" s="3">
        <f t="shared" si="3"/>
        <v>0.33133514986376023</v>
      </c>
      <c r="K20" s="4">
        <v>42</v>
      </c>
      <c r="L20" s="2">
        <v>347</v>
      </c>
      <c r="M20" s="2">
        <v>791</v>
      </c>
      <c r="N20" s="5">
        <f t="shared" si="4"/>
        <v>0.43868520859671301</v>
      </c>
      <c r="O20" s="5" t="s">
        <v>36</v>
      </c>
      <c r="P20" s="5" t="s">
        <v>36</v>
      </c>
      <c r="Q20" s="2" t="s">
        <v>36</v>
      </c>
      <c r="R20" s="2" t="s">
        <v>36</v>
      </c>
      <c r="S20" s="2" t="s">
        <v>36</v>
      </c>
      <c r="T20" s="7" t="s">
        <v>36</v>
      </c>
    </row>
    <row r="21" spans="1:20">
      <c r="A21" s="51" t="s">
        <v>44</v>
      </c>
      <c r="B21" s="1" t="s">
        <v>59</v>
      </c>
      <c r="C21" s="2">
        <v>234</v>
      </c>
      <c r="D21" s="2">
        <v>75</v>
      </c>
      <c r="E21" s="2">
        <v>4</v>
      </c>
      <c r="F21" s="5">
        <f t="shared" si="0"/>
        <v>0.33760683760683763</v>
      </c>
      <c r="G21" s="4">
        <v>106</v>
      </c>
      <c r="H21" s="2">
        <v>1043</v>
      </c>
      <c r="I21" s="8">
        <v>2023</v>
      </c>
      <c r="J21" s="3">
        <f t="shared" si="3"/>
        <v>0.51557093425605538</v>
      </c>
      <c r="K21" s="4">
        <v>43</v>
      </c>
      <c r="L21" s="2">
        <v>403</v>
      </c>
      <c r="M21" s="2">
        <v>818</v>
      </c>
      <c r="N21" s="5">
        <f t="shared" si="4"/>
        <v>0.49266503667481665</v>
      </c>
      <c r="O21" s="5" t="s">
        <v>36</v>
      </c>
      <c r="P21" s="5" t="s">
        <v>36</v>
      </c>
      <c r="Q21" s="2" t="s">
        <v>36</v>
      </c>
      <c r="R21" s="2" t="s">
        <v>36</v>
      </c>
      <c r="S21" s="2" t="s">
        <v>36</v>
      </c>
      <c r="T21" s="7" t="s">
        <v>36</v>
      </c>
    </row>
    <row r="22" spans="1:20">
      <c r="A22" s="51" t="s">
        <v>44</v>
      </c>
      <c r="B22" s="1" t="s">
        <v>60</v>
      </c>
      <c r="C22" s="2">
        <v>175</v>
      </c>
      <c r="D22" s="2">
        <v>28</v>
      </c>
      <c r="E22" s="2">
        <v>1</v>
      </c>
      <c r="F22" s="5">
        <f t="shared" si="0"/>
        <v>0.1657142857142857</v>
      </c>
      <c r="G22" s="4">
        <v>36</v>
      </c>
      <c r="H22" s="2">
        <v>200</v>
      </c>
      <c r="I22" s="2">
        <v>684</v>
      </c>
      <c r="J22" s="3">
        <f t="shared" si="3"/>
        <v>0.29239766081871343</v>
      </c>
      <c r="K22" s="4">
        <v>0</v>
      </c>
      <c r="L22" s="2">
        <v>0</v>
      </c>
      <c r="M22" s="2">
        <v>0</v>
      </c>
      <c r="N22" s="5">
        <v>0</v>
      </c>
      <c r="O22" s="5" t="s">
        <v>36</v>
      </c>
      <c r="P22" s="5" t="s">
        <v>36</v>
      </c>
      <c r="Q22" s="2" t="s">
        <v>36</v>
      </c>
      <c r="R22" s="2" t="s">
        <v>36</v>
      </c>
      <c r="S22" s="2" t="s">
        <v>36</v>
      </c>
      <c r="T22" s="7" t="s">
        <v>36</v>
      </c>
    </row>
    <row r="23" spans="1:20">
      <c r="A23" s="50" t="s">
        <v>140</v>
      </c>
      <c r="B23" s="1" t="s">
        <v>316</v>
      </c>
      <c r="C23" s="2">
        <v>698</v>
      </c>
      <c r="D23" s="2">
        <v>274</v>
      </c>
      <c r="E23" s="2">
        <v>46</v>
      </c>
      <c r="F23" s="5">
        <v>0.45850000000000002</v>
      </c>
      <c r="G23" s="4">
        <v>323</v>
      </c>
      <c r="H23" s="2">
        <v>4353</v>
      </c>
      <c r="I23" s="8">
        <v>6464</v>
      </c>
      <c r="J23" s="3">
        <v>0.67</v>
      </c>
      <c r="K23" s="4">
        <v>128</v>
      </c>
      <c r="L23" s="2">
        <v>1985</v>
      </c>
      <c r="M23" s="8">
        <v>2566</v>
      </c>
      <c r="N23" s="5">
        <v>0.77359999999999995</v>
      </c>
      <c r="O23" s="5"/>
      <c r="P23" s="5" t="s">
        <v>73</v>
      </c>
      <c r="Q23" s="2" t="s">
        <v>36</v>
      </c>
      <c r="R23" s="2" t="s">
        <v>73</v>
      </c>
      <c r="S23" s="2" t="s">
        <v>36</v>
      </c>
      <c r="T23" s="2" t="s">
        <v>36</v>
      </c>
    </row>
    <row r="24" spans="1:20">
      <c r="A24" s="51" t="s">
        <v>141</v>
      </c>
      <c r="B24" s="13" t="s">
        <v>317</v>
      </c>
      <c r="C24" s="2">
        <v>542</v>
      </c>
      <c r="D24" s="2">
        <v>145</v>
      </c>
      <c r="E24" s="4">
        <v>8</v>
      </c>
      <c r="F24" s="5">
        <v>0.2823</v>
      </c>
      <c r="G24" s="2">
        <v>254</v>
      </c>
      <c r="H24" s="4">
        <v>2156</v>
      </c>
      <c r="I24" s="4">
        <v>4325</v>
      </c>
      <c r="J24" s="3">
        <v>0.5</v>
      </c>
      <c r="K24" s="2">
        <v>110</v>
      </c>
      <c r="L24" s="2">
        <v>1349</v>
      </c>
      <c r="M24" s="25">
        <v>1874</v>
      </c>
      <c r="N24" s="5">
        <v>0.71989999999999998</v>
      </c>
      <c r="O24" s="5"/>
      <c r="P24" s="2" t="s">
        <v>73</v>
      </c>
      <c r="Q24" s="2" t="s">
        <v>36</v>
      </c>
      <c r="R24" s="2" t="s">
        <v>36</v>
      </c>
      <c r="S24" s="2" t="s">
        <v>36</v>
      </c>
      <c r="T24" s="7" t="s">
        <v>36</v>
      </c>
    </row>
    <row r="25" spans="1:20">
      <c r="A25" s="51" t="s">
        <v>141</v>
      </c>
      <c r="B25" s="1" t="s">
        <v>318</v>
      </c>
      <c r="C25" s="2">
        <v>497</v>
      </c>
      <c r="D25" s="2">
        <v>0.752</v>
      </c>
      <c r="E25" s="4">
        <v>0</v>
      </c>
      <c r="F25" s="5">
        <v>0.752</v>
      </c>
      <c r="G25" s="4">
        <v>362</v>
      </c>
      <c r="H25" s="4">
        <v>4623</v>
      </c>
      <c r="I25" s="4">
        <v>6147</v>
      </c>
      <c r="J25" s="3">
        <v>0.75</v>
      </c>
      <c r="K25" s="4">
        <v>273</v>
      </c>
      <c r="L25" s="2">
        <v>3495</v>
      </c>
      <c r="M25" s="25">
        <v>4647</v>
      </c>
      <c r="N25" s="5">
        <v>0.75209999999999999</v>
      </c>
      <c r="O25" s="5"/>
      <c r="P25" s="5" t="s">
        <v>73</v>
      </c>
      <c r="Q25" s="2" t="s">
        <v>36</v>
      </c>
      <c r="R25" s="2" t="s">
        <v>36</v>
      </c>
      <c r="S25" s="2" t="s">
        <v>36</v>
      </c>
      <c r="T25" s="7" t="s">
        <v>73</v>
      </c>
    </row>
    <row r="26" spans="1:20">
      <c r="A26" s="51" t="s">
        <v>141</v>
      </c>
      <c r="B26" s="1" t="s">
        <v>319</v>
      </c>
      <c r="C26" s="2">
        <v>365</v>
      </c>
      <c r="D26" s="2">
        <v>119</v>
      </c>
      <c r="E26" s="4">
        <v>13</v>
      </c>
      <c r="F26" s="5">
        <v>0.36159999999999998</v>
      </c>
      <c r="G26" s="4">
        <v>201</v>
      </c>
      <c r="H26" s="4">
        <v>1868</v>
      </c>
      <c r="I26" s="4">
        <v>3410</v>
      </c>
      <c r="J26" s="3">
        <v>0.55000000000000004</v>
      </c>
      <c r="K26" s="4">
        <v>47</v>
      </c>
      <c r="L26" s="2">
        <v>512</v>
      </c>
      <c r="M26" s="25">
        <v>807</v>
      </c>
      <c r="N26" s="5">
        <v>0.63439999999999996</v>
      </c>
      <c r="O26" s="5"/>
      <c r="P26" s="5"/>
      <c r="Q26" s="2" t="s">
        <v>36</v>
      </c>
      <c r="R26" s="2" t="s">
        <v>36</v>
      </c>
      <c r="S26" s="2" t="s">
        <v>36</v>
      </c>
      <c r="T26" s="7" t="s">
        <v>36</v>
      </c>
    </row>
    <row r="27" spans="1:20">
      <c r="A27" s="51" t="s">
        <v>141</v>
      </c>
      <c r="B27" s="1" t="s">
        <v>320</v>
      </c>
      <c r="C27" s="2">
        <v>512</v>
      </c>
      <c r="D27" s="2">
        <v>149</v>
      </c>
      <c r="E27" s="4">
        <v>31</v>
      </c>
      <c r="F27" s="5">
        <v>0.35160000000000002</v>
      </c>
      <c r="G27" s="4">
        <v>301</v>
      </c>
      <c r="H27" s="4">
        <v>2448</v>
      </c>
      <c r="I27" s="4">
        <v>5121</v>
      </c>
      <c r="J27" s="3">
        <v>0.48</v>
      </c>
      <c r="K27" s="4">
        <v>77</v>
      </c>
      <c r="L27" s="2">
        <v>781</v>
      </c>
      <c r="M27" s="25">
        <v>1303</v>
      </c>
      <c r="N27" s="5">
        <v>0.59940000000000004</v>
      </c>
      <c r="O27" s="5"/>
      <c r="P27" s="5"/>
      <c r="Q27" s="2" t="s">
        <v>36</v>
      </c>
      <c r="R27" s="2" t="s">
        <v>36</v>
      </c>
      <c r="S27" s="2" t="s">
        <v>36</v>
      </c>
      <c r="T27" s="7" t="s">
        <v>36</v>
      </c>
    </row>
    <row r="28" spans="1:20">
      <c r="A28" s="51" t="s">
        <v>141</v>
      </c>
      <c r="B28" s="1" t="s">
        <v>321</v>
      </c>
      <c r="C28" s="2">
        <v>501</v>
      </c>
      <c r="D28" s="2">
        <v>161</v>
      </c>
      <c r="E28" s="4">
        <v>7</v>
      </c>
      <c r="F28" s="5">
        <v>0.33529999999999999</v>
      </c>
      <c r="G28" s="4">
        <v>253</v>
      </c>
      <c r="H28" s="4">
        <v>2428</v>
      </c>
      <c r="I28" s="4">
        <v>4303</v>
      </c>
      <c r="J28" s="3">
        <v>0.56000000000000005</v>
      </c>
      <c r="K28" s="4">
        <v>114</v>
      </c>
      <c r="L28" s="2">
        <v>1522</v>
      </c>
      <c r="M28" s="25">
        <v>1941</v>
      </c>
      <c r="N28" s="5">
        <v>0.78410000000000002</v>
      </c>
      <c r="O28" s="5"/>
      <c r="P28" s="5" t="s">
        <v>73</v>
      </c>
      <c r="Q28" s="2" t="s">
        <v>36</v>
      </c>
      <c r="R28" s="2" t="s">
        <v>36</v>
      </c>
      <c r="S28" s="2" t="s">
        <v>36</v>
      </c>
      <c r="T28" s="7" t="s">
        <v>36</v>
      </c>
    </row>
    <row r="29" spans="1:20">
      <c r="A29" s="51" t="s">
        <v>141</v>
      </c>
      <c r="B29" s="1" t="s">
        <v>322</v>
      </c>
      <c r="C29" s="2">
        <v>442</v>
      </c>
      <c r="D29" s="2">
        <v>0.76700000000000002</v>
      </c>
      <c r="E29" s="4">
        <v>0</v>
      </c>
      <c r="F29" s="5">
        <v>0.76700000000000002</v>
      </c>
      <c r="G29" s="4">
        <v>301</v>
      </c>
      <c r="H29" s="4">
        <v>3689</v>
      </c>
      <c r="I29" s="4">
        <v>4810</v>
      </c>
      <c r="J29" s="3">
        <v>0.77</v>
      </c>
      <c r="K29" s="4">
        <v>147</v>
      </c>
      <c r="L29" s="2">
        <v>1799</v>
      </c>
      <c r="M29" s="25">
        <v>2345</v>
      </c>
      <c r="N29" s="5">
        <v>0.76719999999999999</v>
      </c>
      <c r="O29" s="5"/>
      <c r="P29" s="5" t="s">
        <v>73</v>
      </c>
      <c r="Q29" s="2" t="s">
        <v>36</v>
      </c>
      <c r="R29" s="2" t="s">
        <v>36</v>
      </c>
      <c r="S29" s="2" t="s">
        <v>36</v>
      </c>
      <c r="T29" s="7" t="s">
        <v>73</v>
      </c>
    </row>
    <row r="30" spans="1:20">
      <c r="A30" s="51" t="s">
        <v>141</v>
      </c>
      <c r="B30" s="1" t="s">
        <v>323</v>
      </c>
      <c r="C30" s="2">
        <v>826</v>
      </c>
      <c r="D30" s="2">
        <v>0.76700000000000002</v>
      </c>
      <c r="E30" s="4">
        <v>0</v>
      </c>
      <c r="F30" s="5">
        <v>0.76700000000000002</v>
      </c>
      <c r="G30" s="4">
        <v>630</v>
      </c>
      <c r="H30" s="4">
        <v>8215</v>
      </c>
      <c r="I30" s="4">
        <v>10710</v>
      </c>
      <c r="J30" s="3">
        <v>0.77</v>
      </c>
      <c r="K30" s="4">
        <v>256</v>
      </c>
      <c r="L30" s="2">
        <v>3333</v>
      </c>
      <c r="M30" s="25">
        <v>4345</v>
      </c>
      <c r="N30" s="5">
        <v>0.7671</v>
      </c>
      <c r="O30" s="5"/>
      <c r="P30" s="5"/>
      <c r="Q30" s="2" t="s">
        <v>36</v>
      </c>
      <c r="R30" s="2" t="s">
        <v>36</v>
      </c>
      <c r="S30" s="2" t="s">
        <v>36</v>
      </c>
      <c r="T30" s="7" t="s">
        <v>73</v>
      </c>
    </row>
    <row r="31" spans="1:20">
      <c r="A31" s="51" t="s">
        <v>141</v>
      </c>
      <c r="B31" s="1" t="s">
        <v>324</v>
      </c>
      <c r="C31" s="2">
        <v>345</v>
      </c>
      <c r="D31" s="2">
        <v>0.76700000000000002</v>
      </c>
      <c r="E31" s="4">
        <v>0</v>
      </c>
      <c r="F31" s="5">
        <v>0.76700000000000002</v>
      </c>
      <c r="G31" s="4">
        <v>302</v>
      </c>
      <c r="H31" s="4">
        <v>3938</v>
      </c>
      <c r="I31" s="4">
        <v>5134</v>
      </c>
      <c r="J31" s="3">
        <v>0.77</v>
      </c>
      <c r="K31" s="4">
        <v>267</v>
      </c>
      <c r="L31" s="2">
        <v>3487</v>
      </c>
      <c r="M31" s="25">
        <v>4546</v>
      </c>
      <c r="N31" s="5">
        <v>0.76700000000000002</v>
      </c>
      <c r="O31" s="5" t="s">
        <v>73</v>
      </c>
      <c r="P31" s="5" t="s">
        <v>73</v>
      </c>
      <c r="Q31" s="2" t="s">
        <v>36</v>
      </c>
      <c r="R31" s="2" t="s">
        <v>36</v>
      </c>
      <c r="S31" s="2" t="s">
        <v>36</v>
      </c>
      <c r="T31" s="7" t="s">
        <v>73</v>
      </c>
    </row>
    <row r="32" spans="1:20">
      <c r="A32" s="51" t="s">
        <v>141</v>
      </c>
      <c r="B32" s="1" t="s">
        <v>325</v>
      </c>
      <c r="C32" s="2">
        <v>918</v>
      </c>
      <c r="D32" s="2">
        <v>359</v>
      </c>
      <c r="E32" s="4">
        <v>40</v>
      </c>
      <c r="F32" s="5">
        <v>0.43459999999999999</v>
      </c>
      <c r="G32" s="4">
        <v>574</v>
      </c>
      <c r="H32" s="4">
        <v>6112</v>
      </c>
      <c r="I32" s="4">
        <v>9765</v>
      </c>
      <c r="J32" s="3">
        <v>0.63</v>
      </c>
      <c r="K32" s="4">
        <v>161</v>
      </c>
      <c r="L32" s="2">
        <v>2220</v>
      </c>
      <c r="M32" s="25">
        <v>2741</v>
      </c>
      <c r="N32" s="5">
        <v>0.80989999999999995</v>
      </c>
      <c r="O32" s="5"/>
      <c r="P32" s="5"/>
      <c r="Q32" s="2" t="s">
        <v>36</v>
      </c>
      <c r="R32" s="2" t="s">
        <v>36</v>
      </c>
      <c r="S32" s="2" t="s">
        <v>36</v>
      </c>
      <c r="T32" s="7" t="s">
        <v>73</v>
      </c>
    </row>
    <row r="33" spans="1:20">
      <c r="A33" s="51" t="s">
        <v>141</v>
      </c>
      <c r="B33" s="1" t="s">
        <v>326</v>
      </c>
      <c r="C33" s="2">
        <v>767</v>
      </c>
      <c r="D33" s="2">
        <v>321</v>
      </c>
      <c r="E33" s="4">
        <v>30</v>
      </c>
      <c r="F33" s="5">
        <v>0.45760000000000001</v>
      </c>
      <c r="G33" s="4">
        <v>418</v>
      </c>
      <c r="H33" s="4">
        <v>4555</v>
      </c>
      <c r="I33" s="4">
        <v>7111</v>
      </c>
      <c r="J33" s="3">
        <v>0.64</v>
      </c>
      <c r="K33" s="4">
        <v>170</v>
      </c>
      <c r="L33" s="2">
        <v>2517</v>
      </c>
      <c r="M33" s="25">
        <v>2890</v>
      </c>
      <c r="N33" s="5">
        <v>0.87090000000000001</v>
      </c>
      <c r="O33" s="5"/>
      <c r="P33" s="5"/>
      <c r="Q33" s="2" t="s">
        <v>36</v>
      </c>
      <c r="R33" s="2" t="s">
        <v>36</v>
      </c>
      <c r="S33" s="2" t="s">
        <v>36</v>
      </c>
      <c r="T33" s="7" t="s">
        <v>36</v>
      </c>
    </row>
    <row r="34" spans="1:20">
      <c r="A34" s="51" t="s">
        <v>141</v>
      </c>
      <c r="B34" s="1" t="s">
        <v>61</v>
      </c>
      <c r="C34" s="2">
        <v>830</v>
      </c>
      <c r="D34" s="2">
        <v>244</v>
      </c>
      <c r="E34" s="4">
        <v>26</v>
      </c>
      <c r="F34" s="5">
        <v>0.32529999999999998</v>
      </c>
      <c r="G34" s="4">
        <v>540</v>
      </c>
      <c r="H34" s="4">
        <v>4020</v>
      </c>
      <c r="I34" s="4">
        <v>9182</v>
      </c>
      <c r="J34" s="3">
        <v>0.44</v>
      </c>
      <c r="K34" s="4">
        <v>133</v>
      </c>
      <c r="L34" s="2">
        <v>1879</v>
      </c>
      <c r="M34" s="25">
        <v>2269</v>
      </c>
      <c r="N34" s="5">
        <v>0.82809999999999995</v>
      </c>
      <c r="O34" s="5"/>
      <c r="P34" s="5"/>
      <c r="Q34" s="2" t="s">
        <v>36</v>
      </c>
      <c r="R34" s="2" t="s">
        <v>36</v>
      </c>
      <c r="S34" s="2" t="s">
        <v>36</v>
      </c>
      <c r="T34" s="7" t="s">
        <v>36</v>
      </c>
    </row>
    <row r="35" spans="1:20">
      <c r="A35" s="51" t="s">
        <v>141</v>
      </c>
      <c r="B35" s="1" t="s">
        <v>62</v>
      </c>
      <c r="C35" s="2">
        <v>753</v>
      </c>
      <c r="D35" s="2">
        <v>323</v>
      </c>
      <c r="E35" s="4">
        <v>35</v>
      </c>
      <c r="F35" s="5">
        <v>0.47539999999999999</v>
      </c>
      <c r="G35" s="4">
        <v>535</v>
      </c>
      <c r="H35" s="4">
        <v>5253</v>
      </c>
      <c r="I35" s="4">
        <v>9093</v>
      </c>
      <c r="J35" s="3">
        <v>0.57999999999999996</v>
      </c>
      <c r="K35" s="4">
        <v>131</v>
      </c>
      <c r="L35" s="2">
        <v>1594</v>
      </c>
      <c r="M35" s="25">
        <v>2229</v>
      </c>
      <c r="N35" s="5">
        <v>0.71509999999999996</v>
      </c>
      <c r="O35" s="5"/>
      <c r="P35" s="5"/>
      <c r="Q35" s="2" t="s">
        <v>36</v>
      </c>
      <c r="R35" s="2" t="s">
        <v>36</v>
      </c>
      <c r="S35" s="2" t="s">
        <v>36</v>
      </c>
      <c r="T35" s="7" t="s">
        <v>36</v>
      </c>
    </row>
    <row r="36" spans="1:20">
      <c r="A36" s="51" t="s">
        <v>141</v>
      </c>
      <c r="B36" s="1" t="s">
        <v>63</v>
      </c>
      <c r="C36" s="2">
        <v>745</v>
      </c>
      <c r="D36" s="2">
        <v>310</v>
      </c>
      <c r="E36" s="4">
        <v>21</v>
      </c>
      <c r="F36" s="5">
        <v>0.44429999999999997</v>
      </c>
      <c r="G36" s="4">
        <v>447</v>
      </c>
      <c r="H36" s="4">
        <v>4539</v>
      </c>
      <c r="I36" s="4">
        <v>8053</v>
      </c>
      <c r="J36" s="3">
        <v>0.56000000000000005</v>
      </c>
      <c r="K36" s="4">
        <v>165</v>
      </c>
      <c r="L36" s="2">
        <v>2434</v>
      </c>
      <c r="M36" s="25">
        <v>2964</v>
      </c>
      <c r="N36" s="5">
        <v>0.82120000000000004</v>
      </c>
      <c r="O36" s="5"/>
      <c r="P36" s="5"/>
      <c r="Q36" s="2" t="s">
        <v>36</v>
      </c>
      <c r="R36" s="2" t="s">
        <v>36</v>
      </c>
      <c r="S36" s="2" t="s">
        <v>36</v>
      </c>
      <c r="T36" s="7" t="s">
        <v>36</v>
      </c>
    </row>
    <row r="37" spans="1:20">
      <c r="A37" s="51" t="s">
        <v>141</v>
      </c>
      <c r="B37" s="1" t="s">
        <v>64</v>
      </c>
      <c r="C37" s="2">
        <v>1154</v>
      </c>
      <c r="D37" s="2">
        <v>318</v>
      </c>
      <c r="E37" s="4">
        <v>35</v>
      </c>
      <c r="F37" s="5">
        <v>0.30590000000000001</v>
      </c>
      <c r="G37" s="4">
        <v>589</v>
      </c>
      <c r="H37" s="4">
        <v>4591</v>
      </c>
      <c r="I37" s="4">
        <v>10603</v>
      </c>
      <c r="J37" s="3">
        <v>0.43</v>
      </c>
      <c r="K37" s="4">
        <v>111</v>
      </c>
      <c r="L37" s="2">
        <v>1607</v>
      </c>
      <c r="M37" s="25">
        <v>2002</v>
      </c>
      <c r="N37" s="5">
        <v>0.80269999999999997</v>
      </c>
      <c r="O37" s="5"/>
      <c r="P37" s="5"/>
      <c r="Q37" s="2" t="s">
        <v>36</v>
      </c>
      <c r="R37" s="2" t="s">
        <v>36</v>
      </c>
      <c r="S37" s="2" t="s">
        <v>36</v>
      </c>
      <c r="T37" s="7" t="s">
        <v>36</v>
      </c>
    </row>
    <row r="38" spans="1:20">
      <c r="A38" s="51" t="s">
        <v>141</v>
      </c>
      <c r="B38" s="1" t="s">
        <v>327</v>
      </c>
      <c r="C38" s="2">
        <v>1086</v>
      </c>
      <c r="D38" s="2">
        <v>386</v>
      </c>
      <c r="E38" s="4">
        <v>57</v>
      </c>
      <c r="F38" s="5">
        <v>0.40789999999999998</v>
      </c>
      <c r="G38" s="4">
        <v>550</v>
      </c>
      <c r="H38" s="4">
        <v>5318</v>
      </c>
      <c r="I38" s="4">
        <v>9893</v>
      </c>
      <c r="J38" s="3">
        <v>0.54</v>
      </c>
      <c r="K38" s="4">
        <v>134</v>
      </c>
      <c r="L38" s="2">
        <v>1877</v>
      </c>
      <c r="M38" s="25">
        <v>2415</v>
      </c>
      <c r="N38" s="5">
        <v>0.7772</v>
      </c>
      <c r="O38" s="5"/>
      <c r="P38" s="5"/>
      <c r="Q38" s="2" t="s">
        <v>36</v>
      </c>
      <c r="R38" s="2" t="s">
        <v>36</v>
      </c>
      <c r="S38" s="2" t="s">
        <v>36</v>
      </c>
      <c r="T38" s="7" t="s">
        <v>36</v>
      </c>
    </row>
    <row r="39" spans="1:20">
      <c r="A39" s="51" t="s">
        <v>141</v>
      </c>
      <c r="B39" s="1" t="s">
        <v>65</v>
      </c>
      <c r="C39" s="2">
        <v>51</v>
      </c>
      <c r="D39" s="2">
        <v>0.752</v>
      </c>
      <c r="E39" s="4">
        <v>0</v>
      </c>
      <c r="F39" s="5">
        <v>0.752</v>
      </c>
      <c r="G39" s="4">
        <v>46</v>
      </c>
      <c r="H39" s="4">
        <v>587</v>
      </c>
      <c r="I39" s="4">
        <v>780</v>
      </c>
      <c r="J39" s="3">
        <v>0.75</v>
      </c>
      <c r="K39" s="4">
        <v>46</v>
      </c>
      <c r="L39" s="2">
        <v>591</v>
      </c>
      <c r="M39" s="25">
        <v>786</v>
      </c>
      <c r="N39" s="5">
        <v>0.75190000000000001</v>
      </c>
      <c r="O39" s="5"/>
      <c r="P39" s="5"/>
      <c r="Q39" s="2" t="s">
        <v>36</v>
      </c>
      <c r="R39" s="2" t="s">
        <v>36</v>
      </c>
      <c r="S39" s="2" t="s">
        <v>36</v>
      </c>
      <c r="T39" s="7" t="s">
        <v>73</v>
      </c>
    </row>
    <row r="40" spans="1:20">
      <c r="A40" s="51" t="s">
        <v>141</v>
      </c>
      <c r="B40" s="1" t="s">
        <v>328</v>
      </c>
      <c r="C40" s="2">
        <v>269</v>
      </c>
      <c r="D40" s="2">
        <v>67</v>
      </c>
      <c r="E40" s="4">
        <v>1</v>
      </c>
      <c r="F40" s="5">
        <v>0.25280000000000002</v>
      </c>
      <c r="G40" s="4">
        <v>14</v>
      </c>
      <c r="H40" s="4">
        <v>235</v>
      </c>
      <c r="I40" s="4">
        <v>235</v>
      </c>
      <c r="J40" s="3">
        <v>1</v>
      </c>
      <c r="K40" s="4">
        <v>124</v>
      </c>
      <c r="L40" s="2">
        <v>2104</v>
      </c>
      <c r="M40" s="25">
        <v>2104</v>
      </c>
      <c r="N40" s="5">
        <v>1</v>
      </c>
      <c r="O40" s="5" t="s">
        <v>73</v>
      </c>
      <c r="P40" s="5"/>
      <c r="Q40" s="2" t="s">
        <v>36</v>
      </c>
      <c r="R40" s="2" t="s">
        <v>36</v>
      </c>
      <c r="S40" s="2" t="s">
        <v>36</v>
      </c>
      <c r="T40" s="2" t="s">
        <v>36</v>
      </c>
    </row>
    <row r="41" spans="1:20">
      <c r="A41" s="51" t="s">
        <v>66</v>
      </c>
      <c r="B41" s="1" t="s">
        <v>67</v>
      </c>
      <c r="C41" s="2">
        <v>2041</v>
      </c>
      <c r="D41" s="2">
        <v>617</v>
      </c>
      <c r="E41" s="2">
        <v>103</v>
      </c>
      <c r="F41" s="5">
        <f t="shared" ref="F41:F53" si="5">SUM(D41+E41)/C41</f>
        <v>0.3527682508574228</v>
      </c>
      <c r="G41" s="4">
        <f t="shared" ref="G41:G48" si="6">+I41/20</f>
        <v>1262.9000000000001</v>
      </c>
      <c r="H41" s="2">
        <f>9296+1404</f>
        <v>10700</v>
      </c>
      <c r="I41" s="2">
        <v>25258</v>
      </c>
      <c r="J41" s="3">
        <f>SUM(H41/I41)</f>
        <v>0.42362815741547233</v>
      </c>
      <c r="K41" s="4">
        <f>+M41/20</f>
        <v>326.64999999999998</v>
      </c>
      <c r="L41" s="2">
        <f>4352+350</f>
        <v>4702</v>
      </c>
      <c r="M41" s="2">
        <v>6533</v>
      </c>
      <c r="N41" s="5">
        <f>SUM(L41/M41)</f>
        <v>0.71973059849992349</v>
      </c>
      <c r="O41" s="5"/>
      <c r="P41" s="5"/>
      <c r="Q41" s="2" t="s">
        <v>68</v>
      </c>
      <c r="R41" s="2" t="s">
        <v>68</v>
      </c>
      <c r="S41" s="2"/>
      <c r="T41" s="2" t="s">
        <v>68</v>
      </c>
    </row>
    <row r="42" spans="1:20">
      <c r="A42" s="51" t="s">
        <v>66</v>
      </c>
      <c r="B42" s="1" t="s">
        <v>69</v>
      </c>
      <c r="C42" s="2">
        <v>847</v>
      </c>
      <c r="D42" s="2">
        <v>403</v>
      </c>
      <c r="E42" s="2">
        <v>36</v>
      </c>
      <c r="F42" s="5">
        <f t="shared" si="5"/>
        <v>0.51829988193624554</v>
      </c>
      <c r="G42" s="4">
        <f t="shared" si="6"/>
        <v>637.15</v>
      </c>
      <c r="H42" s="2">
        <f>7121+590</f>
        <v>7711</v>
      </c>
      <c r="I42" s="2">
        <v>12743</v>
      </c>
      <c r="J42" s="3">
        <f t="shared" ref="J42:J53" si="7">SUM(H42/I42)</f>
        <v>0.60511653456799808</v>
      </c>
      <c r="K42" s="4">
        <f t="shared" ref="K42:K53" si="8">+M42/20</f>
        <v>157.4</v>
      </c>
      <c r="L42" s="2">
        <f>2580+89</f>
        <v>2669</v>
      </c>
      <c r="M42" s="2">
        <v>3148</v>
      </c>
      <c r="N42" s="5">
        <f t="shared" ref="N42:N53" si="9">SUM(L42/M42)</f>
        <v>0.84783989834815754</v>
      </c>
      <c r="O42" s="5"/>
      <c r="P42" s="5"/>
      <c r="Q42" s="2" t="s">
        <v>68</v>
      </c>
      <c r="R42" s="2" t="s">
        <v>68</v>
      </c>
      <c r="S42" s="2"/>
      <c r="T42" s="2" t="s">
        <v>68</v>
      </c>
    </row>
    <row r="43" spans="1:20">
      <c r="A43" s="51" t="s">
        <v>66</v>
      </c>
      <c r="B43" s="1" t="s">
        <v>70</v>
      </c>
      <c r="C43" s="2">
        <v>829</v>
      </c>
      <c r="D43" s="2">
        <v>272</v>
      </c>
      <c r="E43" s="2">
        <v>35</v>
      </c>
      <c r="F43" s="5">
        <f t="shared" si="5"/>
        <v>0.3703256936067551</v>
      </c>
      <c r="G43" s="4">
        <f t="shared" si="6"/>
        <v>531.9</v>
      </c>
      <c r="H43" s="2">
        <f>4540+450</f>
        <v>4990</v>
      </c>
      <c r="I43" s="2">
        <v>10638</v>
      </c>
      <c r="J43" s="3">
        <f t="shared" si="7"/>
        <v>0.46907313404775336</v>
      </c>
      <c r="K43" s="4">
        <f t="shared" si="8"/>
        <v>105.6</v>
      </c>
      <c r="L43" s="2">
        <f>1586+111</f>
        <v>1697</v>
      </c>
      <c r="M43" s="2">
        <v>2112</v>
      </c>
      <c r="N43" s="5">
        <f t="shared" si="9"/>
        <v>0.80350378787878785</v>
      </c>
      <c r="O43" s="5"/>
      <c r="P43" s="5"/>
      <c r="Q43" s="2" t="s">
        <v>68</v>
      </c>
      <c r="R43" s="2" t="s">
        <v>68</v>
      </c>
      <c r="S43" s="2"/>
      <c r="T43" s="2" t="s">
        <v>68</v>
      </c>
    </row>
    <row r="44" spans="1:20">
      <c r="A44" s="51" t="s">
        <v>66</v>
      </c>
      <c r="B44" s="1" t="s">
        <v>71</v>
      </c>
      <c r="C44" s="2">
        <v>448</v>
      </c>
      <c r="D44" s="2">
        <v>219</v>
      </c>
      <c r="E44" s="2">
        <v>22</v>
      </c>
      <c r="F44" s="5">
        <f t="shared" si="5"/>
        <v>0.5379464285714286</v>
      </c>
      <c r="G44" s="4">
        <f t="shared" si="6"/>
        <v>318.2</v>
      </c>
      <c r="H44" s="2">
        <f>3736+450</f>
        <v>4186</v>
      </c>
      <c r="I44" s="2">
        <v>6364</v>
      </c>
      <c r="J44" s="3">
        <f t="shared" si="7"/>
        <v>0.65776241357636711</v>
      </c>
      <c r="K44" s="4">
        <f t="shared" si="8"/>
        <v>302.7</v>
      </c>
      <c r="L44" s="2">
        <f>3341+403</f>
        <v>3744</v>
      </c>
      <c r="M44" s="2">
        <v>6054</v>
      </c>
      <c r="N44" s="5">
        <f t="shared" si="9"/>
        <v>0.61843409316154607</v>
      </c>
      <c r="O44" s="5"/>
      <c r="P44" s="5" t="s">
        <v>72</v>
      </c>
      <c r="Q44" s="2" t="s">
        <v>68</v>
      </c>
      <c r="R44" s="2" t="s">
        <v>68</v>
      </c>
      <c r="S44" s="2" t="s">
        <v>73</v>
      </c>
      <c r="T44" s="2" t="s">
        <v>68</v>
      </c>
    </row>
    <row r="45" spans="1:20">
      <c r="A45" s="51" t="s">
        <v>66</v>
      </c>
      <c r="B45" s="9" t="s">
        <v>74</v>
      </c>
      <c r="C45" s="10">
        <f>713+38</f>
        <v>751</v>
      </c>
      <c r="D45" s="10">
        <f>244+8</f>
        <v>252</v>
      </c>
      <c r="E45" s="10">
        <v>25</v>
      </c>
      <c r="F45" s="24">
        <f t="shared" si="5"/>
        <v>0.36884154460719043</v>
      </c>
      <c r="G45" s="4">
        <f t="shared" si="6"/>
        <v>464.25</v>
      </c>
      <c r="H45" s="2">
        <f>4863+454-727-100</f>
        <v>4490</v>
      </c>
      <c r="I45" s="2">
        <f>10944-727-100-832</f>
        <v>9285</v>
      </c>
      <c r="J45" s="3">
        <f t="shared" si="7"/>
        <v>0.48357565966612814</v>
      </c>
      <c r="K45" s="4">
        <f t="shared" si="8"/>
        <v>403.15</v>
      </c>
      <c r="L45" s="2">
        <f>4255+470-673-111</f>
        <v>3941</v>
      </c>
      <c r="M45" s="2">
        <f>9909-673-111-1062</f>
        <v>8063</v>
      </c>
      <c r="N45" s="5">
        <f t="shared" si="9"/>
        <v>0.48877588986729503</v>
      </c>
      <c r="O45" s="5"/>
      <c r="P45" s="5" t="s">
        <v>72</v>
      </c>
      <c r="Q45" s="2" t="s">
        <v>68</v>
      </c>
      <c r="R45" s="2" t="s">
        <v>68</v>
      </c>
      <c r="S45" s="2" t="s">
        <v>73</v>
      </c>
      <c r="T45" s="2" t="s">
        <v>68</v>
      </c>
    </row>
    <row r="46" spans="1:20">
      <c r="A46" s="51" t="s">
        <v>66</v>
      </c>
      <c r="B46" s="9" t="s">
        <v>75</v>
      </c>
      <c r="C46" s="10">
        <f>10+141</f>
        <v>151</v>
      </c>
      <c r="D46" s="10">
        <f>5+48</f>
        <v>53</v>
      </c>
      <c r="E46" s="10">
        <f>0+7</f>
        <v>7</v>
      </c>
      <c r="F46" s="24">
        <f t="shared" si="5"/>
        <v>0.39735099337748342</v>
      </c>
      <c r="G46" s="4">
        <f t="shared" si="6"/>
        <v>82.95</v>
      </c>
      <c r="H46" s="2">
        <f>727+100</f>
        <v>827</v>
      </c>
      <c r="I46" s="2">
        <f>727+100+832</f>
        <v>1659</v>
      </c>
      <c r="J46" s="3">
        <f t="shared" si="7"/>
        <v>0.49849306811332128</v>
      </c>
      <c r="K46" s="4">
        <f t="shared" si="8"/>
        <v>92.3</v>
      </c>
      <c r="L46" s="2">
        <f>673+111</f>
        <v>784</v>
      </c>
      <c r="M46" s="2">
        <f>673+111+1062</f>
        <v>1846</v>
      </c>
      <c r="N46" s="5">
        <f t="shared" si="9"/>
        <v>0.42470205850487541</v>
      </c>
      <c r="O46" s="5"/>
      <c r="P46" s="5"/>
      <c r="Q46" s="2" t="s">
        <v>68</v>
      </c>
      <c r="R46" s="2" t="s">
        <v>68</v>
      </c>
      <c r="S46" s="2" t="s">
        <v>73</v>
      </c>
      <c r="T46" s="2" t="s">
        <v>68</v>
      </c>
    </row>
    <row r="47" spans="1:20">
      <c r="A47" s="51" t="s">
        <v>66</v>
      </c>
      <c r="B47" s="9" t="s">
        <v>76</v>
      </c>
      <c r="C47" s="10">
        <v>594</v>
      </c>
      <c r="D47" s="10">
        <v>233</v>
      </c>
      <c r="E47" s="10">
        <v>25</v>
      </c>
      <c r="F47" s="24">
        <f t="shared" si="5"/>
        <v>0.43434343434343436</v>
      </c>
      <c r="G47" s="4">
        <f t="shared" si="6"/>
        <v>412.95</v>
      </c>
      <c r="H47" s="2">
        <f>4330+483-531-18</f>
        <v>4264</v>
      </c>
      <c r="I47" s="2">
        <f>8916-531-18-108</f>
        <v>8259</v>
      </c>
      <c r="J47" s="3">
        <f t="shared" si="7"/>
        <v>0.51628526455987411</v>
      </c>
      <c r="K47" s="4">
        <f t="shared" si="8"/>
        <v>175.95</v>
      </c>
      <c r="L47" s="2">
        <f>2448+213-426-13</f>
        <v>2222</v>
      </c>
      <c r="M47" s="2">
        <f>4026-426-13-68</f>
        <v>3519</v>
      </c>
      <c r="N47" s="5">
        <f t="shared" si="9"/>
        <v>0.63142938334754195</v>
      </c>
      <c r="O47" s="5"/>
      <c r="P47" s="5"/>
      <c r="Q47" s="2" t="s">
        <v>68</v>
      </c>
      <c r="R47" s="2" t="s">
        <v>68</v>
      </c>
      <c r="S47" s="2" t="s">
        <v>73</v>
      </c>
      <c r="T47" s="2" t="s">
        <v>68</v>
      </c>
    </row>
    <row r="48" spans="1:20">
      <c r="A48" s="51" t="s">
        <v>66</v>
      </c>
      <c r="B48" s="9" t="s">
        <v>77</v>
      </c>
      <c r="C48" s="10">
        <v>42</v>
      </c>
      <c r="D48" s="10">
        <v>34</v>
      </c>
      <c r="E48" s="10">
        <v>1</v>
      </c>
      <c r="F48" s="24">
        <f t="shared" si="5"/>
        <v>0.83333333333333337</v>
      </c>
      <c r="G48" s="4">
        <f t="shared" si="6"/>
        <v>32.85</v>
      </c>
      <c r="H48" s="2">
        <f>531+18</f>
        <v>549</v>
      </c>
      <c r="I48" s="2">
        <f>531+18+108</f>
        <v>657</v>
      </c>
      <c r="J48" s="3">
        <f t="shared" si="7"/>
        <v>0.83561643835616439</v>
      </c>
      <c r="K48" s="4">
        <f t="shared" si="8"/>
        <v>25.35</v>
      </c>
      <c r="L48" s="2">
        <f>426+13</f>
        <v>439</v>
      </c>
      <c r="M48" s="2">
        <f>426+13+68</f>
        <v>507</v>
      </c>
      <c r="N48" s="5">
        <f t="shared" si="9"/>
        <v>0.86587771203155817</v>
      </c>
      <c r="O48" s="5"/>
      <c r="P48" s="5"/>
      <c r="Q48" s="2" t="s">
        <v>68</v>
      </c>
      <c r="R48" s="2" t="s">
        <v>68</v>
      </c>
      <c r="S48" s="2" t="s">
        <v>73</v>
      </c>
      <c r="T48" s="2" t="s">
        <v>68</v>
      </c>
    </row>
    <row r="49" spans="1:20">
      <c r="A49" s="51" t="s">
        <v>66</v>
      </c>
      <c r="B49" s="1" t="s">
        <v>78</v>
      </c>
      <c r="C49" s="2">
        <f>513</f>
        <v>513</v>
      </c>
      <c r="D49" s="2">
        <f>202</f>
        <v>202</v>
      </c>
      <c r="E49" s="2">
        <v>17</v>
      </c>
      <c r="F49" s="5">
        <f t="shared" si="5"/>
        <v>0.42690058479532161</v>
      </c>
      <c r="G49" s="4">
        <f>+I49/20</f>
        <v>327.05</v>
      </c>
      <c r="H49" s="2">
        <v>3450</v>
      </c>
      <c r="I49" s="2">
        <v>6541</v>
      </c>
      <c r="J49" s="3">
        <f t="shared" si="7"/>
        <v>0.52744228711206242</v>
      </c>
      <c r="K49" s="4">
        <f t="shared" si="8"/>
        <v>254.95</v>
      </c>
      <c r="L49" s="2">
        <f>2557+193</f>
        <v>2750</v>
      </c>
      <c r="M49" s="2">
        <v>5099</v>
      </c>
      <c r="N49" s="5">
        <f t="shared" si="9"/>
        <v>0.53932143557560308</v>
      </c>
      <c r="O49" s="5"/>
      <c r="P49" s="5" t="s">
        <v>72</v>
      </c>
      <c r="Q49" s="2" t="s">
        <v>68</v>
      </c>
      <c r="R49" s="2" t="s">
        <v>68</v>
      </c>
      <c r="S49" s="2" t="s">
        <v>73</v>
      </c>
      <c r="T49" s="2" t="s">
        <v>68</v>
      </c>
    </row>
    <row r="50" spans="1:20">
      <c r="A50" s="51" t="s">
        <v>66</v>
      </c>
      <c r="B50" s="1" t="s">
        <v>79</v>
      </c>
      <c r="C50" s="2">
        <v>493</v>
      </c>
      <c r="D50" s="2">
        <v>292</v>
      </c>
      <c r="E50" s="2">
        <v>30</v>
      </c>
      <c r="F50" s="5">
        <f t="shared" si="5"/>
        <v>0.65314401622718055</v>
      </c>
      <c r="G50" s="4">
        <f>+I50/20</f>
        <v>406</v>
      </c>
      <c r="H50" s="2">
        <f>5193+536</f>
        <v>5729</v>
      </c>
      <c r="I50" s="2">
        <v>8120</v>
      </c>
      <c r="J50" s="3">
        <f t="shared" si="7"/>
        <v>0.70554187192118223</v>
      </c>
      <c r="K50" s="4">
        <f t="shared" si="8"/>
        <v>249.75</v>
      </c>
      <c r="L50" s="2">
        <f>3386+332</f>
        <v>3718</v>
      </c>
      <c r="M50" s="2">
        <v>4995</v>
      </c>
      <c r="N50" s="5">
        <f t="shared" si="9"/>
        <v>0.74434434434434438</v>
      </c>
      <c r="O50" s="5"/>
      <c r="P50" s="5"/>
      <c r="Q50" s="2" t="s">
        <v>68</v>
      </c>
      <c r="R50" s="2" t="s">
        <v>68</v>
      </c>
      <c r="S50" s="2" t="s">
        <v>73</v>
      </c>
      <c r="T50" s="2" t="s">
        <v>68</v>
      </c>
    </row>
    <row r="51" spans="1:20">
      <c r="A51" s="51" t="s">
        <v>66</v>
      </c>
      <c r="B51" s="1" t="s">
        <v>80</v>
      </c>
      <c r="C51" s="2">
        <v>471</v>
      </c>
      <c r="D51" s="2">
        <v>141</v>
      </c>
      <c r="E51" s="2">
        <v>33</v>
      </c>
      <c r="F51" s="5">
        <f t="shared" si="5"/>
        <v>0.36942675159235666</v>
      </c>
      <c r="G51" s="4">
        <f>+I51/20</f>
        <v>308.05</v>
      </c>
      <c r="H51" s="2">
        <f>2454+452</f>
        <v>2906</v>
      </c>
      <c r="I51" s="2">
        <v>6161</v>
      </c>
      <c r="J51" s="3">
        <f t="shared" si="7"/>
        <v>0.47167667586430773</v>
      </c>
      <c r="K51" s="4">
        <f t="shared" si="8"/>
        <v>177.9</v>
      </c>
      <c r="L51" s="2">
        <f>1653+224</f>
        <v>1877</v>
      </c>
      <c r="M51" s="2">
        <v>3558</v>
      </c>
      <c r="N51" s="5">
        <f t="shared" si="9"/>
        <v>0.52754356379988754</v>
      </c>
      <c r="O51" s="5"/>
      <c r="P51" s="5" t="s">
        <v>72</v>
      </c>
      <c r="Q51" s="2" t="s">
        <v>68</v>
      </c>
      <c r="R51" s="2" t="s">
        <v>68</v>
      </c>
      <c r="S51" s="2" t="s">
        <v>73</v>
      </c>
      <c r="T51" s="2" t="s">
        <v>68</v>
      </c>
    </row>
    <row r="52" spans="1:20">
      <c r="A52" s="51" t="s">
        <v>66</v>
      </c>
      <c r="B52" s="9" t="s">
        <v>81</v>
      </c>
      <c r="C52" s="10">
        <v>229</v>
      </c>
      <c r="D52" s="10">
        <v>32</v>
      </c>
      <c r="E52" s="10">
        <v>35</v>
      </c>
      <c r="F52" s="24">
        <f t="shared" si="5"/>
        <v>0.29257641921397382</v>
      </c>
      <c r="G52" s="4">
        <f>+I52/20</f>
        <v>149.44999999999999</v>
      </c>
      <c r="H52" s="2">
        <f>(1136+1377)-631-726-27-112</f>
        <v>1017</v>
      </c>
      <c r="I52" s="2">
        <f>8343-631-726-3858-27-112</f>
        <v>2989</v>
      </c>
      <c r="J52" s="3">
        <f t="shared" si="7"/>
        <v>0.3402475744396119</v>
      </c>
      <c r="K52" s="4">
        <f t="shared" si="8"/>
        <v>44.4</v>
      </c>
      <c r="L52" s="2">
        <f>(463+331)-226-187-18-37</f>
        <v>326</v>
      </c>
      <c r="M52" s="2">
        <f>2815-226-187-1459-18-37</f>
        <v>888</v>
      </c>
      <c r="N52" s="5">
        <f t="shared" si="9"/>
        <v>0.36711711711711714</v>
      </c>
      <c r="O52" s="5"/>
      <c r="P52" s="5"/>
      <c r="Q52" s="2" t="s">
        <v>68</v>
      </c>
      <c r="R52" s="2" t="s">
        <v>68</v>
      </c>
      <c r="S52" s="2"/>
      <c r="T52" s="2" t="s">
        <v>68</v>
      </c>
    </row>
    <row r="53" spans="1:20">
      <c r="A53" s="51" t="s">
        <v>66</v>
      </c>
      <c r="B53" s="9" t="s">
        <v>82</v>
      </c>
      <c r="C53" s="10">
        <v>453</v>
      </c>
      <c r="D53" s="10">
        <v>42</v>
      </c>
      <c r="E53" s="10">
        <v>56</v>
      </c>
      <c r="F53" s="24">
        <f t="shared" si="5"/>
        <v>0.21633554083885209</v>
      </c>
      <c r="G53" s="4">
        <f>+I53/20</f>
        <v>267.7</v>
      </c>
      <c r="H53" s="2">
        <f>631+726+27+112</f>
        <v>1496</v>
      </c>
      <c r="I53" s="2">
        <f>631+726+3858+27+112</f>
        <v>5354</v>
      </c>
      <c r="J53" s="3">
        <f t="shared" si="7"/>
        <v>0.27941725812476653</v>
      </c>
      <c r="K53" s="4">
        <f t="shared" si="8"/>
        <v>96.35</v>
      </c>
      <c r="L53" s="2">
        <f>226+187+18+37</f>
        <v>468</v>
      </c>
      <c r="M53" s="2">
        <f>226+187+1459+18+37</f>
        <v>1927</v>
      </c>
      <c r="N53" s="5">
        <f t="shared" si="9"/>
        <v>0.24286455630513751</v>
      </c>
      <c r="O53" s="5"/>
      <c r="P53" s="5"/>
      <c r="Q53" s="2" t="s">
        <v>68</v>
      </c>
      <c r="R53" s="2" t="s">
        <v>68</v>
      </c>
      <c r="S53" s="2" t="s">
        <v>73</v>
      </c>
      <c r="T53" s="2" t="s">
        <v>68</v>
      </c>
    </row>
    <row r="54" spans="1:20">
      <c r="A54" s="50" t="s">
        <v>142</v>
      </c>
      <c r="B54" s="1" t="s">
        <v>329</v>
      </c>
      <c r="C54" s="2">
        <v>435</v>
      </c>
      <c r="D54" s="2">
        <v>231</v>
      </c>
      <c r="E54" s="2">
        <v>40</v>
      </c>
      <c r="F54" s="5">
        <v>0.623</v>
      </c>
      <c r="G54" s="4">
        <v>233</v>
      </c>
      <c r="H54" s="2">
        <v>3386</v>
      </c>
      <c r="I54" s="8">
        <v>4425</v>
      </c>
      <c r="J54" s="3">
        <v>0.77</v>
      </c>
      <c r="K54" s="4">
        <v>108</v>
      </c>
      <c r="L54" s="2">
        <v>1733</v>
      </c>
      <c r="M54" s="8">
        <v>2051</v>
      </c>
      <c r="N54" s="5">
        <v>0.84499999999999997</v>
      </c>
      <c r="O54" s="5"/>
      <c r="P54" s="5"/>
      <c r="Q54" s="2" t="s">
        <v>36</v>
      </c>
      <c r="R54" s="2" t="s">
        <v>36</v>
      </c>
      <c r="S54" s="2" t="s">
        <v>36</v>
      </c>
      <c r="T54" s="2" t="s">
        <v>36</v>
      </c>
    </row>
    <row r="55" spans="1:20">
      <c r="A55" s="50" t="s">
        <v>83</v>
      </c>
      <c r="B55" s="1" t="s">
        <v>84</v>
      </c>
      <c r="C55" s="2">
        <v>1423</v>
      </c>
      <c r="D55" s="2">
        <v>544</v>
      </c>
      <c r="E55" s="2">
        <v>47</v>
      </c>
      <c r="F55" s="5">
        <f t="shared" ref="F55:F62" si="10">SUM(D55+E55)/C55</f>
        <v>0.41531974701335206</v>
      </c>
      <c r="G55" s="4">
        <v>771</v>
      </c>
      <c r="H55" s="2">
        <v>7894</v>
      </c>
      <c r="I55" s="2">
        <v>13883</v>
      </c>
      <c r="J55" s="3">
        <f t="shared" ref="J55:J62" si="11">SUM(H55/I55)</f>
        <v>0.56860909025426776</v>
      </c>
      <c r="K55" s="4">
        <v>183</v>
      </c>
      <c r="L55" s="2">
        <v>2480</v>
      </c>
      <c r="M55" s="2">
        <v>3298</v>
      </c>
      <c r="N55" s="5">
        <f t="shared" ref="N55:N62" si="12">SUM(L55/M55)</f>
        <v>0.75197089144936324</v>
      </c>
      <c r="O55" s="5"/>
      <c r="P55" s="5" t="s">
        <v>72</v>
      </c>
      <c r="Q55" s="2" t="s">
        <v>36</v>
      </c>
      <c r="R55" s="2" t="s">
        <v>36</v>
      </c>
      <c r="S55" s="2" t="s">
        <v>36</v>
      </c>
      <c r="T55" s="6" t="s">
        <v>36</v>
      </c>
    </row>
    <row r="56" spans="1:20">
      <c r="A56" s="50" t="s">
        <v>83</v>
      </c>
      <c r="B56" s="1" t="s">
        <v>85</v>
      </c>
      <c r="C56" s="2">
        <v>401</v>
      </c>
      <c r="D56" s="2">
        <v>172</v>
      </c>
      <c r="E56" s="2">
        <v>16</v>
      </c>
      <c r="F56" s="5">
        <f t="shared" si="10"/>
        <v>0.46882793017456359</v>
      </c>
      <c r="G56" s="4">
        <v>205</v>
      </c>
      <c r="H56" s="2">
        <v>1905</v>
      </c>
      <c r="I56" s="2">
        <v>3688</v>
      </c>
      <c r="J56" s="3">
        <f t="shared" si="11"/>
        <v>0.51654013015184386</v>
      </c>
      <c r="K56" s="4">
        <v>211</v>
      </c>
      <c r="L56" s="2">
        <v>1897</v>
      </c>
      <c r="M56" s="2">
        <v>3803</v>
      </c>
      <c r="N56" s="5">
        <f t="shared" si="12"/>
        <v>0.49881672363923218</v>
      </c>
      <c r="O56" s="5"/>
      <c r="P56" s="5" t="s">
        <v>72</v>
      </c>
      <c r="Q56" s="2" t="s">
        <v>36</v>
      </c>
      <c r="R56" s="2" t="s">
        <v>36</v>
      </c>
      <c r="S56" s="2" t="s">
        <v>36</v>
      </c>
      <c r="T56" s="6" t="s">
        <v>36</v>
      </c>
    </row>
    <row r="57" spans="1:20">
      <c r="A57" s="50" t="s">
        <v>83</v>
      </c>
      <c r="B57" s="1" t="s">
        <v>86</v>
      </c>
      <c r="C57" s="2">
        <v>634</v>
      </c>
      <c r="D57" s="2">
        <v>212</v>
      </c>
      <c r="E57" s="2">
        <v>21</v>
      </c>
      <c r="F57" s="5">
        <f t="shared" si="10"/>
        <v>0.36750788643533122</v>
      </c>
      <c r="G57" s="4">
        <v>436</v>
      </c>
      <c r="H57" s="2">
        <v>3559</v>
      </c>
      <c r="I57" s="2">
        <v>7856</v>
      </c>
      <c r="J57" s="3">
        <f t="shared" si="11"/>
        <v>0.45302953156822812</v>
      </c>
      <c r="K57" s="4">
        <v>71</v>
      </c>
      <c r="L57" s="2">
        <v>813</v>
      </c>
      <c r="M57" s="2">
        <v>1273</v>
      </c>
      <c r="N57" s="5">
        <f t="shared" si="12"/>
        <v>0.63864886095836604</v>
      </c>
      <c r="O57" s="5"/>
      <c r="P57" s="5"/>
      <c r="Q57" s="2" t="s">
        <v>36</v>
      </c>
      <c r="R57" s="2" t="s">
        <v>36</v>
      </c>
      <c r="S57" s="2" t="s">
        <v>36</v>
      </c>
      <c r="T57" s="6" t="s">
        <v>36</v>
      </c>
    </row>
    <row r="58" spans="1:20">
      <c r="A58" s="50" t="s">
        <v>83</v>
      </c>
      <c r="B58" s="1" t="s">
        <v>87</v>
      </c>
      <c r="C58" s="2">
        <v>603</v>
      </c>
      <c r="D58" s="2">
        <v>202</v>
      </c>
      <c r="E58" s="2">
        <v>15</v>
      </c>
      <c r="F58" s="5">
        <f t="shared" si="10"/>
        <v>0.35986733001658378</v>
      </c>
      <c r="G58" s="4">
        <v>364</v>
      </c>
      <c r="H58" s="2">
        <v>3059</v>
      </c>
      <c r="I58" s="2">
        <v>6546</v>
      </c>
      <c r="J58" s="3">
        <f t="shared" si="11"/>
        <v>0.46730827986556678</v>
      </c>
      <c r="K58" s="4">
        <v>151</v>
      </c>
      <c r="L58" s="2">
        <v>1790</v>
      </c>
      <c r="M58" s="2">
        <v>2719</v>
      </c>
      <c r="N58" s="5">
        <f t="shared" si="12"/>
        <v>0.65833026848105924</v>
      </c>
      <c r="O58" s="5"/>
      <c r="P58" s="5"/>
      <c r="Q58" s="2" t="s">
        <v>36</v>
      </c>
      <c r="R58" s="2" t="s">
        <v>36</v>
      </c>
      <c r="S58" s="2" t="s">
        <v>36</v>
      </c>
      <c r="T58" s="6" t="s">
        <v>36</v>
      </c>
    </row>
    <row r="59" spans="1:20">
      <c r="A59" s="50" t="s">
        <v>83</v>
      </c>
      <c r="B59" s="1" t="s">
        <v>88</v>
      </c>
      <c r="C59" s="2">
        <v>604</v>
      </c>
      <c r="D59" s="2">
        <v>471</v>
      </c>
      <c r="E59" s="2">
        <v>0</v>
      </c>
      <c r="F59" s="5">
        <f t="shared" si="10"/>
        <v>0.7798013245033113</v>
      </c>
      <c r="G59" s="4">
        <v>513</v>
      </c>
      <c r="H59" s="2">
        <v>8038</v>
      </c>
      <c r="I59" s="2">
        <v>10253</v>
      </c>
      <c r="J59" s="3">
        <f t="shared" si="11"/>
        <v>0.78396566858480443</v>
      </c>
      <c r="K59" s="4">
        <v>192</v>
      </c>
      <c r="L59" s="2">
        <v>3018</v>
      </c>
      <c r="M59" s="2">
        <v>3849</v>
      </c>
      <c r="N59" s="5">
        <f t="shared" si="12"/>
        <v>0.78409976617303201</v>
      </c>
      <c r="O59" s="5"/>
      <c r="P59" s="5"/>
      <c r="Q59" s="2"/>
      <c r="R59" s="2"/>
      <c r="S59" s="2"/>
      <c r="T59" s="7" t="s">
        <v>72</v>
      </c>
    </row>
    <row r="60" spans="1:20">
      <c r="A60" s="50" t="s">
        <v>83</v>
      </c>
      <c r="B60" s="1" t="s">
        <v>89</v>
      </c>
      <c r="C60" s="2">
        <v>570</v>
      </c>
      <c r="D60" s="2">
        <v>447</v>
      </c>
      <c r="E60" s="2">
        <v>0</v>
      </c>
      <c r="F60" s="5">
        <f t="shared" si="10"/>
        <v>0.78421052631578947</v>
      </c>
      <c r="G60" s="4">
        <v>434</v>
      </c>
      <c r="H60" s="2">
        <v>6800</v>
      </c>
      <c r="I60" s="2">
        <v>8673</v>
      </c>
      <c r="J60" s="3">
        <f t="shared" si="11"/>
        <v>0.78404243053153466</v>
      </c>
      <c r="K60" s="4">
        <v>318</v>
      </c>
      <c r="L60" s="2">
        <v>4988</v>
      </c>
      <c r="M60" s="2">
        <v>6362</v>
      </c>
      <c r="N60" s="5">
        <f t="shared" si="12"/>
        <v>0.78403017918893425</v>
      </c>
      <c r="O60" s="5" t="s">
        <v>72</v>
      </c>
      <c r="P60" s="5"/>
      <c r="Q60" s="2"/>
      <c r="R60" s="2"/>
      <c r="S60" s="2"/>
      <c r="T60" s="7" t="s">
        <v>72</v>
      </c>
    </row>
    <row r="61" spans="1:20">
      <c r="A61" s="50" t="s">
        <v>83</v>
      </c>
      <c r="B61" s="1" t="s">
        <v>90</v>
      </c>
      <c r="C61" s="2">
        <v>567</v>
      </c>
      <c r="D61" s="2">
        <v>445</v>
      </c>
      <c r="E61" s="2">
        <v>0</v>
      </c>
      <c r="F61" s="5">
        <f t="shared" si="10"/>
        <v>0.78483245149911818</v>
      </c>
      <c r="G61" s="4">
        <v>490</v>
      </c>
      <c r="H61" s="2">
        <v>7684</v>
      </c>
      <c r="I61" s="2">
        <v>9801</v>
      </c>
      <c r="J61" s="3">
        <f t="shared" si="11"/>
        <v>0.78400163248648103</v>
      </c>
      <c r="K61" s="4">
        <v>412</v>
      </c>
      <c r="L61" s="2">
        <v>6465</v>
      </c>
      <c r="M61" s="2">
        <v>8246</v>
      </c>
      <c r="N61" s="5">
        <f t="shared" si="12"/>
        <v>0.78401649284501573</v>
      </c>
      <c r="O61" s="5" t="s">
        <v>72</v>
      </c>
      <c r="P61" s="5"/>
      <c r="Q61" s="2" t="s">
        <v>72</v>
      </c>
      <c r="R61" s="2"/>
      <c r="S61" s="2"/>
      <c r="T61" s="7" t="s">
        <v>72</v>
      </c>
    </row>
    <row r="62" spans="1:20">
      <c r="A62" s="50" t="s">
        <v>83</v>
      </c>
      <c r="B62" s="1" t="s">
        <v>91</v>
      </c>
      <c r="C62" s="2">
        <v>621</v>
      </c>
      <c r="D62" s="2">
        <v>251</v>
      </c>
      <c r="E62" s="2">
        <v>19</v>
      </c>
      <c r="F62" s="5">
        <f t="shared" si="10"/>
        <v>0.43478260869565216</v>
      </c>
      <c r="G62" s="4">
        <v>381</v>
      </c>
      <c r="H62" s="2">
        <v>4128</v>
      </c>
      <c r="I62" s="2">
        <v>7618</v>
      </c>
      <c r="J62" s="3">
        <f t="shared" si="11"/>
        <v>0.54187450774481494</v>
      </c>
      <c r="K62" s="4">
        <v>184</v>
      </c>
      <c r="L62" s="2">
        <v>2368</v>
      </c>
      <c r="M62" s="2">
        <v>3664</v>
      </c>
      <c r="N62" s="5">
        <f t="shared" si="12"/>
        <v>0.64628820960698685</v>
      </c>
      <c r="O62" s="5"/>
      <c r="P62" s="5"/>
      <c r="Q62" s="2" t="s">
        <v>36</v>
      </c>
      <c r="R62" s="2" t="s">
        <v>36</v>
      </c>
      <c r="S62" s="2" t="s">
        <v>36</v>
      </c>
      <c r="T62" s="6" t="s">
        <v>36</v>
      </c>
    </row>
    <row r="63" spans="1:20">
      <c r="A63" s="51" t="s">
        <v>92</v>
      </c>
      <c r="B63" s="1" t="s">
        <v>93</v>
      </c>
      <c r="C63" s="2">
        <v>355</v>
      </c>
      <c r="D63" s="2">
        <v>303</v>
      </c>
      <c r="E63" s="2">
        <v>0</v>
      </c>
      <c r="F63" s="5">
        <f t="shared" ref="F63:F74" si="13">SUM(D63+E63)/C63</f>
        <v>0.85352112676056335</v>
      </c>
      <c r="G63" s="4">
        <v>280</v>
      </c>
      <c r="H63" s="2">
        <v>5016</v>
      </c>
      <c r="I63" s="2">
        <v>5880</v>
      </c>
      <c r="J63" s="3">
        <f>SUM(H63/I63)</f>
        <v>0.85306122448979593</v>
      </c>
      <c r="K63" s="4">
        <v>193</v>
      </c>
      <c r="L63" s="2">
        <v>3468</v>
      </c>
      <c r="M63" s="2">
        <v>4066</v>
      </c>
      <c r="N63" s="5">
        <f>SUM(L63/M63)</f>
        <v>0.85292670929660597</v>
      </c>
      <c r="O63" s="5"/>
      <c r="P63" s="5"/>
      <c r="Q63" s="2" t="s">
        <v>72</v>
      </c>
      <c r="R63" s="2"/>
      <c r="S63" s="2"/>
      <c r="T63" s="6" t="s">
        <v>72</v>
      </c>
    </row>
    <row r="64" spans="1:20">
      <c r="A64" s="51" t="s">
        <v>92</v>
      </c>
      <c r="B64" s="1" t="s">
        <v>94</v>
      </c>
      <c r="C64" s="2">
        <v>989</v>
      </c>
      <c r="D64" s="2">
        <v>821</v>
      </c>
      <c r="E64" s="2">
        <v>0</v>
      </c>
      <c r="F64" s="5">
        <f t="shared" si="13"/>
        <v>0.83013144590495447</v>
      </c>
      <c r="G64" s="4">
        <v>821</v>
      </c>
      <c r="H64" s="2">
        <v>14316</v>
      </c>
      <c r="I64" s="2">
        <v>17248</v>
      </c>
      <c r="J64" s="3">
        <f t="shared" ref="J64:J74" si="14">SUM(H64/I64)</f>
        <v>0.83000927643784783</v>
      </c>
      <c r="K64" s="4">
        <v>442</v>
      </c>
      <c r="L64" s="2">
        <v>7706</v>
      </c>
      <c r="M64" s="2">
        <v>9284</v>
      </c>
      <c r="N64" s="5">
        <f t="shared" ref="N64:N74" si="15">SUM(L64/M64)</f>
        <v>0.83003015941404568</v>
      </c>
      <c r="O64" s="5"/>
      <c r="P64" s="5" t="s">
        <v>72</v>
      </c>
      <c r="Q64" s="2" t="s">
        <v>72</v>
      </c>
      <c r="R64" s="2"/>
      <c r="S64" s="2"/>
      <c r="T64" s="7" t="s">
        <v>72</v>
      </c>
    </row>
    <row r="65" spans="1:20">
      <c r="A65" s="51" t="s">
        <v>92</v>
      </c>
      <c r="B65" s="1" t="s">
        <v>95</v>
      </c>
      <c r="C65" s="2">
        <v>1897</v>
      </c>
      <c r="D65" s="2">
        <v>1313</v>
      </c>
      <c r="E65" s="2">
        <v>0</v>
      </c>
      <c r="F65" s="5">
        <f t="shared" si="13"/>
        <v>0.69214549288350025</v>
      </c>
      <c r="G65" s="4">
        <v>1316</v>
      </c>
      <c r="H65" s="2">
        <v>19125</v>
      </c>
      <c r="I65" s="2">
        <v>27637</v>
      </c>
      <c r="J65" s="3">
        <f t="shared" si="14"/>
        <v>0.69200709194196186</v>
      </c>
      <c r="K65" s="4">
        <v>537</v>
      </c>
      <c r="L65" s="2">
        <v>7813</v>
      </c>
      <c r="M65" s="2">
        <v>11291</v>
      </c>
      <c r="N65" s="5">
        <f t="shared" si="15"/>
        <v>0.69196705340536713</v>
      </c>
      <c r="O65" s="5"/>
      <c r="P65" s="5" t="s">
        <v>72</v>
      </c>
      <c r="Q65" s="2"/>
      <c r="R65" s="2"/>
      <c r="S65" s="2"/>
      <c r="T65" s="7" t="s">
        <v>72</v>
      </c>
    </row>
    <row r="66" spans="1:20">
      <c r="A66" s="51" t="s">
        <v>92</v>
      </c>
      <c r="B66" s="1" t="s">
        <v>96</v>
      </c>
      <c r="C66" s="2">
        <v>366</v>
      </c>
      <c r="D66" s="2">
        <v>365</v>
      </c>
      <c r="E66" s="2">
        <v>0</v>
      </c>
      <c r="F66" s="5">
        <f t="shared" si="13"/>
        <v>0.99726775956284153</v>
      </c>
      <c r="G66" s="4">
        <v>261</v>
      </c>
      <c r="H66" s="2">
        <v>5481</v>
      </c>
      <c r="I66" s="2">
        <v>5497</v>
      </c>
      <c r="J66" s="3">
        <f t="shared" si="14"/>
        <v>0.99708932144806262</v>
      </c>
      <c r="K66" s="4">
        <v>256</v>
      </c>
      <c r="L66" s="2">
        <v>5369</v>
      </c>
      <c r="M66" s="2">
        <v>5385</v>
      </c>
      <c r="N66" s="5">
        <f t="shared" si="15"/>
        <v>0.99702878365831016</v>
      </c>
      <c r="O66" s="5" t="s">
        <v>72</v>
      </c>
      <c r="P66" s="5"/>
      <c r="Q66" s="2" t="s">
        <v>72</v>
      </c>
      <c r="R66" s="2"/>
      <c r="S66" s="2"/>
      <c r="T66" s="7" t="s">
        <v>72</v>
      </c>
    </row>
    <row r="67" spans="1:20">
      <c r="A67" s="51" t="s">
        <v>92</v>
      </c>
      <c r="B67" s="1" t="s">
        <v>97</v>
      </c>
      <c r="C67" s="2">
        <v>310</v>
      </c>
      <c r="D67" s="2">
        <v>253</v>
      </c>
      <c r="E67" s="2">
        <v>0</v>
      </c>
      <c r="F67" s="5">
        <f t="shared" si="13"/>
        <v>0.81612903225806455</v>
      </c>
      <c r="G67" s="4">
        <v>232</v>
      </c>
      <c r="H67" s="2">
        <v>3981</v>
      </c>
      <c r="I67" s="2">
        <v>4873</v>
      </c>
      <c r="J67" s="3">
        <f t="shared" si="14"/>
        <v>0.81695054381284626</v>
      </c>
      <c r="K67" s="4">
        <v>140</v>
      </c>
      <c r="L67" s="2">
        <v>2418</v>
      </c>
      <c r="M67" s="2">
        <v>2959</v>
      </c>
      <c r="N67" s="5">
        <f t="shared" si="15"/>
        <v>0.81716796214937482</v>
      </c>
      <c r="O67" s="5"/>
      <c r="P67" s="5"/>
      <c r="Q67" s="2" t="s">
        <v>72</v>
      </c>
      <c r="R67" s="2"/>
      <c r="S67" s="2"/>
      <c r="T67" s="7" t="s">
        <v>72</v>
      </c>
    </row>
    <row r="68" spans="1:20">
      <c r="A68" s="51" t="s">
        <v>92</v>
      </c>
      <c r="B68" s="1" t="s">
        <v>98</v>
      </c>
      <c r="C68" s="2">
        <v>371</v>
      </c>
      <c r="D68" s="2">
        <v>303</v>
      </c>
      <c r="E68" s="2">
        <v>0</v>
      </c>
      <c r="F68" s="5">
        <f t="shared" si="13"/>
        <v>0.81671159029649598</v>
      </c>
      <c r="G68" s="4">
        <v>240</v>
      </c>
      <c r="H68" s="2">
        <v>4133</v>
      </c>
      <c r="I68" s="2">
        <v>5059</v>
      </c>
      <c r="J68" s="3">
        <f t="shared" si="14"/>
        <v>0.81695987349278509</v>
      </c>
      <c r="K68" s="4">
        <v>125</v>
      </c>
      <c r="L68" s="2">
        <v>2159</v>
      </c>
      <c r="M68" s="2">
        <v>2642</v>
      </c>
      <c r="N68" s="5">
        <f t="shared" si="15"/>
        <v>0.81718395155185464</v>
      </c>
      <c r="O68" s="5"/>
      <c r="P68" s="5" t="s">
        <v>72</v>
      </c>
      <c r="Q68" s="2" t="s">
        <v>72</v>
      </c>
      <c r="R68" s="2"/>
      <c r="S68" s="2"/>
      <c r="T68" s="7" t="s">
        <v>72</v>
      </c>
    </row>
    <row r="69" spans="1:20">
      <c r="A69" s="51" t="s">
        <v>92</v>
      </c>
      <c r="B69" s="1" t="s">
        <v>99</v>
      </c>
      <c r="C69" s="2">
        <v>389</v>
      </c>
      <c r="D69" s="2">
        <v>323</v>
      </c>
      <c r="E69" s="2">
        <v>0</v>
      </c>
      <c r="F69" s="5">
        <f t="shared" si="13"/>
        <v>0.83033419023136246</v>
      </c>
      <c r="G69" s="4">
        <v>309</v>
      </c>
      <c r="H69" s="2">
        <v>5395</v>
      </c>
      <c r="I69" s="2">
        <v>6492</v>
      </c>
      <c r="J69" s="3">
        <f t="shared" si="14"/>
        <v>0.83102279728897099</v>
      </c>
      <c r="K69" s="4">
        <v>230</v>
      </c>
      <c r="L69" s="2">
        <v>4025</v>
      </c>
      <c r="M69" s="2">
        <v>4844</v>
      </c>
      <c r="N69" s="5">
        <f t="shared" si="15"/>
        <v>0.83092485549132944</v>
      </c>
      <c r="O69" s="5" t="s">
        <v>72</v>
      </c>
      <c r="P69" s="5"/>
      <c r="Q69" s="2" t="s">
        <v>72</v>
      </c>
      <c r="R69" s="2"/>
      <c r="S69" s="2"/>
      <c r="T69" s="7" t="s">
        <v>72</v>
      </c>
    </row>
    <row r="70" spans="1:20">
      <c r="A70" s="51" t="s">
        <v>92</v>
      </c>
      <c r="B70" s="1" t="s">
        <v>100</v>
      </c>
      <c r="C70" s="2">
        <v>587</v>
      </c>
      <c r="D70" s="2">
        <v>558</v>
      </c>
      <c r="E70" s="2">
        <v>0</v>
      </c>
      <c r="F70" s="5">
        <f t="shared" si="13"/>
        <v>0.95059625212947185</v>
      </c>
      <c r="G70" s="4">
        <v>476</v>
      </c>
      <c r="H70" s="2">
        <v>9508</v>
      </c>
      <c r="I70" s="2">
        <v>9998</v>
      </c>
      <c r="J70" s="3">
        <f t="shared" si="14"/>
        <v>0.95099019803960794</v>
      </c>
      <c r="K70" s="4">
        <v>406</v>
      </c>
      <c r="L70" s="2">
        <v>8124</v>
      </c>
      <c r="M70" s="2">
        <v>8543</v>
      </c>
      <c r="N70" s="5">
        <f t="shared" si="15"/>
        <v>0.95095399742479225</v>
      </c>
      <c r="O70" s="5" t="s">
        <v>72</v>
      </c>
      <c r="P70" s="5" t="s">
        <v>72</v>
      </c>
      <c r="Q70" s="2" t="s">
        <v>72</v>
      </c>
      <c r="R70" s="2"/>
      <c r="S70" s="2"/>
      <c r="T70" s="7" t="s">
        <v>72</v>
      </c>
    </row>
    <row r="71" spans="1:20">
      <c r="A71" s="51" t="s">
        <v>92</v>
      </c>
      <c r="B71" s="1" t="s">
        <v>101</v>
      </c>
      <c r="C71" s="2">
        <v>329</v>
      </c>
      <c r="D71" s="2">
        <v>320</v>
      </c>
      <c r="E71" s="2">
        <v>0</v>
      </c>
      <c r="F71" s="5">
        <f t="shared" si="13"/>
        <v>0.97264437689969607</v>
      </c>
      <c r="G71" s="4">
        <v>279</v>
      </c>
      <c r="H71" s="2">
        <v>5705</v>
      </c>
      <c r="I71" s="2">
        <v>5869</v>
      </c>
      <c r="J71" s="3">
        <f t="shared" si="14"/>
        <v>0.97205656841029131</v>
      </c>
      <c r="K71" s="4">
        <v>201</v>
      </c>
      <c r="L71" s="2">
        <v>4114</v>
      </c>
      <c r="M71" s="2">
        <v>4232</v>
      </c>
      <c r="N71" s="5">
        <f t="shared" si="15"/>
        <v>0.97211720226843101</v>
      </c>
      <c r="O71" s="5"/>
      <c r="P71" s="5"/>
      <c r="Q71" s="2" t="s">
        <v>72</v>
      </c>
      <c r="R71" s="2"/>
      <c r="S71" s="2"/>
      <c r="T71" s="7" t="s">
        <v>72</v>
      </c>
    </row>
    <row r="72" spans="1:20">
      <c r="A72" s="51" t="s">
        <v>92</v>
      </c>
      <c r="B72" s="1" t="s">
        <v>102</v>
      </c>
      <c r="C72" s="2">
        <v>933</v>
      </c>
      <c r="D72" s="2">
        <v>787</v>
      </c>
      <c r="E72" s="2">
        <v>0</v>
      </c>
      <c r="F72" s="5">
        <f t="shared" si="13"/>
        <v>0.84351554126473738</v>
      </c>
      <c r="G72" s="4">
        <v>822</v>
      </c>
      <c r="H72" s="2">
        <v>14574</v>
      </c>
      <c r="I72" s="2">
        <v>17268</v>
      </c>
      <c r="J72" s="3">
        <f t="shared" si="14"/>
        <v>0.84398888116747739</v>
      </c>
      <c r="K72" s="4">
        <v>581</v>
      </c>
      <c r="L72" s="2">
        <v>10305</v>
      </c>
      <c r="M72" s="2">
        <v>12210</v>
      </c>
      <c r="N72" s="5">
        <f t="shared" si="15"/>
        <v>0.84398034398034394</v>
      </c>
      <c r="O72" s="5"/>
      <c r="P72" s="5" t="s">
        <v>72</v>
      </c>
      <c r="Q72" s="2" t="s">
        <v>72</v>
      </c>
      <c r="R72" s="2"/>
      <c r="S72" s="2"/>
      <c r="T72" s="7" t="s">
        <v>72</v>
      </c>
    </row>
    <row r="73" spans="1:20">
      <c r="A73" s="51" t="s">
        <v>92</v>
      </c>
      <c r="B73" s="1" t="s">
        <v>103</v>
      </c>
      <c r="C73" s="2">
        <v>79</v>
      </c>
      <c r="D73" s="2">
        <v>67</v>
      </c>
      <c r="E73" s="2">
        <v>0</v>
      </c>
      <c r="F73" s="5">
        <f t="shared" si="13"/>
        <v>0.84810126582278478</v>
      </c>
      <c r="G73" s="4">
        <v>45</v>
      </c>
      <c r="H73" s="2">
        <v>809</v>
      </c>
      <c r="I73" s="2">
        <v>958</v>
      </c>
      <c r="J73" s="3">
        <f t="shared" si="14"/>
        <v>0.8444676409185804</v>
      </c>
      <c r="K73" s="4">
        <v>45</v>
      </c>
      <c r="L73" s="2">
        <v>812</v>
      </c>
      <c r="M73" s="2">
        <v>962</v>
      </c>
      <c r="N73" s="5">
        <f t="shared" si="15"/>
        <v>0.84407484407484412</v>
      </c>
      <c r="O73" s="5" t="s">
        <v>72</v>
      </c>
      <c r="P73" s="5" t="s">
        <v>72</v>
      </c>
      <c r="Q73" s="2" t="s">
        <v>72</v>
      </c>
      <c r="R73" s="2"/>
      <c r="S73" s="2"/>
      <c r="T73" s="7" t="s">
        <v>72</v>
      </c>
    </row>
    <row r="74" spans="1:20">
      <c r="A74" s="51" t="s">
        <v>92</v>
      </c>
      <c r="B74" s="1" t="s">
        <v>104</v>
      </c>
      <c r="C74" s="2">
        <v>96</v>
      </c>
      <c r="D74" s="2">
        <v>96</v>
      </c>
      <c r="E74" s="2">
        <v>0</v>
      </c>
      <c r="F74" s="5">
        <f t="shared" si="13"/>
        <v>1</v>
      </c>
      <c r="G74" s="4">
        <v>49</v>
      </c>
      <c r="H74" s="2">
        <v>1043</v>
      </c>
      <c r="I74" s="2">
        <v>1043</v>
      </c>
      <c r="J74" s="3">
        <f t="shared" si="14"/>
        <v>1</v>
      </c>
      <c r="K74" s="4">
        <v>45</v>
      </c>
      <c r="L74" s="2">
        <v>949</v>
      </c>
      <c r="M74" s="2">
        <v>949</v>
      </c>
      <c r="N74" s="5">
        <f t="shared" si="15"/>
        <v>1</v>
      </c>
      <c r="O74" s="5" t="s">
        <v>72</v>
      </c>
      <c r="P74" s="5" t="s">
        <v>72</v>
      </c>
      <c r="Q74" s="2"/>
      <c r="R74" s="2"/>
      <c r="S74" s="2"/>
      <c r="T74" s="7" t="s">
        <v>72</v>
      </c>
    </row>
    <row r="75" spans="1:20">
      <c r="A75" s="52" t="s">
        <v>186</v>
      </c>
      <c r="B75" s="1" t="s">
        <v>187</v>
      </c>
      <c r="C75" s="2">
        <v>343</v>
      </c>
      <c r="D75" s="2">
        <v>306</v>
      </c>
      <c r="E75" s="2">
        <v>0</v>
      </c>
      <c r="F75" s="5">
        <f t="shared" ref="F75:F76" si="16">SUM(D75+E75)/C75</f>
        <v>0.89212827988338195</v>
      </c>
      <c r="G75" s="4">
        <v>273</v>
      </c>
      <c r="H75" s="2">
        <v>4379</v>
      </c>
      <c r="I75" s="2">
        <v>4909</v>
      </c>
      <c r="J75" s="3">
        <f>SUM(H75/I75)</f>
        <v>0.8920350376858831</v>
      </c>
      <c r="K75" s="4">
        <v>193</v>
      </c>
      <c r="L75" s="2">
        <v>3091</v>
      </c>
      <c r="M75" s="2">
        <v>3465</v>
      </c>
      <c r="N75" s="5">
        <f>SUM(L75/M75)</f>
        <v>0.89206349206349211</v>
      </c>
      <c r="O75" s="5"/>
      <c r="P75" s="5"/>
      <c r="Q75" s="2" t="s">
        <v>36</v>
      </c>
      <c r="R75" s="2" t="s">
        <v>36</v>
      </c>
      <c r="S75" s="2" t="s">
        <v>36</v>
      </c>
      <c r="T75" s="6" t="s">
        <v>36</v>
      </c>
    </row>
    <row r="76" spans="1:20">
      <c r="A76" s="52" t="s">
        <v>186</v>
      </c>
      <c r="B76" s="1" t="s">
        <v>188</v>
      </c>
      <c r="C76" s="2">
        <v>745</v>
      </c>
      <c r="D76" s="2">
        <v>665</v>
      </c>
      <c r="E76" s="2">
        <v>0</v>
      </c>
      <c r="F76" s="5">
        <f t="shared" si="16"/>
        <v>0.89261744966442957</v>
      </c>
      <c r="G76" s="4">
        <v>617</v>
      </c>
      <c r="H76" s="2">
        <v>11015</v>
      </c>
      <c r="I76" s="2">
        <v>12349</v>
      </c>
      <c r="J76" s="3">
        <f t="shared" ref="J76" si="17">SUM(H76/I76)</f>
        <v>0.89197505870920724</v>
      </c>
      <c r="K76" s="4">
        <v>495</v>
      </c>
      <c r="L76" s="2">
        <v>8822</v>
      </c>
      <c r="M76" s="2">
        <v>9890</v>
      </c>
      <c r="N76" s="5">
        <f t="shared" ref="N76" si="18">SUM(L76/M76)</f>
        <v>0.89201213346814967</v>
      </c>
      <c r="O76" s="5"/>
      <c r="P76" s="5"/>
      <c r="Q76" s="2"/>
      <c r="R76" s="2"/>
      <c r="S76" s="2"/>
      <c r="T76" s="7"/>
    </row>
    <row r="77" spans="1:20">
      <c r="A77" s="51" t="s">
        <v>105</v>
      </c>
      <c r="B77" s="1" t="s">
        <v>106</v>
      </c>
      <c r="C77" s="2">
        <v>396</v>
      </c>
      <c r="D77" s="2">
        <f>C77*0.963</f>
        <v>381.34800000000001</v>
      </c>
      <c r="E77" s="10">
        <v>0</v>
      </c>
      <c r="F77" s="5">
        <f t="shared" ref="F77:F107" si="19">SUM(D77+E77)/C77</f>
        <v>0.96300000000000008</v>
      </c>
      <c r="G77" s="4">
        <v>314</v>
      </c>
      <c r="H77" s="2">
        <v>4876</v>
      </c>
      <c r="I77" s="2">
        <v>5647</v>
      </c>
      <c r="J77" s="3">
        <f t="shared" ref="J77:J107" si="20">SUM(H77/I77)</f>
        <v>0.8634673277846644</v>
      </c>
      <c r="K77" s="4">
        <v>375</v>
      </c>
      <c r="L77" s="2">
        <v>6733</v>
      </c>
      <c r="M77" s="2">
        <v>6733</v>
      </c>
      <c r="N77" s="5">
        <f>SUM(L77/M77)</f>
        <v>1</v>
      </c>
      <c r="O77" s="5" t="s">
        <v>72</v>
      </c>
      <c r="P77" s="5" t="s">
        <v>72</v>
      </c>
      <c r="Q77" s="2" t="s">
        <v>36</v>
      </c>
      <c r="R77" s="2" t="s">
        <v>36</v>
      </c>
      <c r="S77" s="2" t="s">
        <v>36</v>
      </c>
      <c r="T77" s="6" t="s">
        <v>72</v>
      </c>
    </row>
    <row r="78" spans="1:20">
      <c r="A78" s="51" t="s">
        <v>105</v>
      </c>
      <c r="B78" s="1" t="s">
        <v>107</v>
      </c>
      <c r="C78" s="2">
        <v>369</v>
      </c>
      <c r="D78" s="2">
        <f>C78*0.963</f>
        <v>355.34699999999998</v>
      </c>
      <c r="E78" s="10">
        <v>0</v>
      </c>
      <c r="F78" s="5">
        <f t="shared" si="19"/>
        <v>0.96299999999999997</v>
      </c>
      <c r="G78" s="4">
        <v>307</v>
      </c>
      <c r="H78" s="2">
        <v>4554</v>
      </c>
      <c r="I78" s="2">
        <v>5517</v>
      </c>
      <c r="J78" s="3">
        <f t="shared" si="20"/>
        <v>0.82544861337683528</v>
      </c>
      <c r="K78" s="4">
        <v>147</v>
      </c>
      <c r="L78" s="2">
        <v>2202</v>
      </c>
      <c r="M78" s="2">
        <v>2631</v>
      </c>
      <c r="N78" s="5">
        <f t="shared" ref="N78:N107" si="21">SUM(L78/M78)</f>
        <v>0.83694412770809579</v>
      </c>
      <c r="O78" s="2" t="s">
        <v>36</v>
      </c>
      <c r="P78" s="5" t="s">
        <v>72</v>
      </c>
      <c r="Q78" s="10" t="s">
        <v>72</v>
      </c>
      <c r="R78" s="2" t="s">
        <v>36</v>
      </c>
      <c r="S78" s="2" t="s">
        <v>36</v>
      </c>
      <c r="T78" s="7" t="s">
        <v>72</v>
      </c>
    </row>
    <row r="79" spans="1:20">
      <c r="A79" s="51" t="s">
        <v>105</v>
      </c>
      <c r="B79" s="1" t="s">
        <v>108</v>
      </c>
      <c r="C79" s="2">
        <v>556</v>
      </c>
      <c r="D79" s="2">
        <v>260</v>
      </c>
      <c r="E79" s="2">
        <v>33</v>
      </c>
      <c r="F79" s="5">
        <f t="shared" si="19"/>
        <v>0.5269784172661871</v>
      </c>
      <c r="G79" s="4">
        <v>320</v>
      </c>
      <c r="H79" s="2">
        <v>3950</v>
      </c>
      <c r="I79" s="2">
        <v>5752</v>
      </c>
      <c r="J79" s="3">
        <f t="shared" si="20"/>
        <v>0.6867176634214186</v>
      </c>
      <c r="K79" s="4">
        <v>161</v>
      </c>
      <c r="L79" s="2">
        <v>2146</v>
      </c>
      <c r="M79" s="2">
        <v>2885</v>
      </c>
      <c r="N79" s="5">
        <f t="shared" si="21"/>
        <v>0.74384748700173309</v>
      </c>
      <c r="O79" s="2" t="s">
        <v>36</v>
      </c>
      <c r="P79" s="5" t="s">
        <v>72</v>
      </c>
      <c r="Q79" s="2" t="s">
        <v>36</v>
      </c>
      <c r="R79" s="2" t="s">
        <v>36</v>
      </c>
      <c r="S79" s="2" t="s">
        <v>36</v>
      </c>
      <c r="T79" s="2" t="s">
        <v>36</v>
      </c>
    </row>
    <row r="80" spans="1:20">
      <c r="A80" s="51" t="s">
        <v>105</v>
      </c>
      <c r="B80" s="1" t="s">
        <v>109</v>
      </c>
      <c r="C80" s="2">
        <v>134</v>
      </c>
      <c r="D80" s="2">
        <v>48</v>
      </c>
      <c r="E80" s="2">
        <v>9</v>
      </c>
      <c r="F80" s="5">
        <f t="shared" si="19"/>
        <v>0.42537313432835822</v>
      </c>
      <c r="G80" s="4">
        <v>77</v>
      </c>
      <c r="H80" s="2">
        <v>796</v>
      </c>
      <c r="I80" s="2">
        <v>1373</v>
      </c>
      <c r="J80" s="3">
        <f t="shared" si="20"/>
        <v>0.57975236707938815</v>
      </c>
      <c r="K80" s="4">
        <v>86</v>
      </c>
      <c r="L80" s="2">
        <v>940</v>
      </c>
      <c r="M80" s="2">
        <v>1534</v>
      </c>
      <c r="N80" s="5">
        <f t="shared" si="21"/>
        <v>0.61277705345501954</v>
      </c>
      <c r="O80" s="2" t="s">
        <v>36</v>
      </c>
      <c r="P80" s="5" t="s">
        <v>72</v>
      </c>
      <c r="Q80" s="2" t="s">
        <v>36</v>
      </c>
      <c r="R80" s="2" t="s">
        <v>36</v>
      </c>
      <c r="S80" s="2" t="s">
        <v>36</v>
      </c>
      <c r="T80" s="2" t="s">
        <v>36</v>
      </c>
    </row>
    <row r="81" spans="1:20">
      <c r="A81" s="51" t="s">
        <v>105</v>
      </c>
      <c r="B81" s="1" t="s">
        <v>110</v>
      </c>
      <c r="C81" s="2">
        <v>359</v>
      </c>
      <c r="D81" s="2">
        <f>C81*0.963</f>
        <v>345.71699999999998</v>
      </c>
      <c r="E81" s="2">
        <v>0</v>
      </c>
      <c r="F81" s="5">
        <f t="shared" si="19"/>
        <v>0.96299999999999997</v>
      </c>
      <c r="G81" s="4">
        <v>290</v>
      </c>
      <c r="H81" s="2">
        <v>3806</v>
      </c>
      <c r="I81" s="2">
        <v>5209</v>
      </c>
      <c r="J81" s="3">
        <f t="shared" si="20"/>
        <v>0.73065847571510845</v>
      </c>
      <c r="K81" s="4">
        <v>175</v>
      </c>
      <c r="L81" s="2">
        <v>2434</v>
      </c>
      <c r="M81" s="2">
        <v>3141</v>
      </c>
      <c r="N81" s="5">
        <f t="shared" si="21"/>
        <v>0.77491244826488381</v>
      </c>
      <c r="O81" s="2" t="s">
        <v>36</v>
      </c>
      <c r="P81" s="5" t="s">
        <v>72</v>
      </c>
      <c r="Q81" s="2" t="s">
        <v>36</v>
      </c>
      <c r="R81" s="2" t="s">
        <v>36</v>
      </c>
      <c r="S81" s="2" t="s">
        <v>36</v>
      </c>
      <c r="T81" s="7" t="s">
        <v>72</v>
      </c>
    </row>
    <row r="82" spans="1:20">
      <c r="A82" s="51" t="s">
        <v>105</v>
      </c>
      <c r="B82" s="9" t="s">
        <v>111</v>
      </c>
      <c r="C82" s="10">
        <v>399</v>
      </c>
      <c r="D82" s="2">
        <f>C82*0.963</f>
        <v>384.23699999999997</v>
      </c>
      <c r="E82" s="10">
        <v>0</v>
      </c>
      <c r="F82" s="24">
        <f t="shared" si="19"/>
        <v>0.96299999999999997</v>
      </c>
      <c r="G82" s="4">
        <v>142</v>
      </c>
      <c r="H82" s="2">
        <v>1672</v>
      </c>
      <c r="I82" s="2">
        <v>2556</v>
      </c>
      <c r="J82" s="3">
        <f t="shared" si="20"/>
        <v>0.65414710485133021</v>
      </c>
      <c r="K82" s="4">
        <v>159</v>
      </c>
      <c r="L82" s="2">
        <v>1832</v>
      </c>
      <c r="M82" s="2">
        <v>2859</v>
      </c>
      <c r="N82" s="5">
        <f t="shared" si="21"/>
        <v>0.64078349073102481</v>
      </c>
      <c r="O82" s="2" t="s">
        <v>72</v>
      </c>
      <c r="P82" s="5" t="s">
        <v>72</v>
      </c>
      <c r="Q82" s="2" t="s">
        <v>36</v>
      </c>
      <c r="R82" s="2" t="s">
        <v>36</v>
      </c>
      <c r="S82" s="2" t="s">
        <v>36</v>
      </c>
      <c r="T82" s="7" t="s">
        <v>72</v>
      </c>
    </row>
    <row r="83" spans="1:20">
      <c r="A83" s="51" t="s">
        <v>105</v>
      </c>
      <c r="B83" s="1" t="s">
        <v>112</v>
      </c>
      <c r="C83" s="2">
        <v>908</v>
      </c>
      <c r="D83" s="2">
        <v>452</v>
      </c>
      <c r="E83" s="2">
        <v>39</v>
      </c>
      <c r="F83" s="5">
        <f t="shared" si="19"/>
        <v>0.54074889867841414</v>
      </c>
      <c r="G83" s="4">
        <v>515</v>
      </c>
      <c r="H83" s="2">
        <v>6292</v>
      </c>
      <c r="I83" s="2">
        <v>9270</v>
      </c>
      <c r="J83" s="3">
        <f t="shared" si="20"/>
        <v>0.67874865156418551</v>
      </c>
      <c r="K83" s="4">
        <v>271</v>
      </c>
      <c r="L83" s="2">
        <v>3313</v>
      </c>
      <c r="M83" s="2">
        <v>4878</v>
      </c>
      <c r="N83" s="5">
        <f t="shared" si="21"/>
        <v>0.67917179171791719</v>
      </c>
      <c r="O83" s="2" t="s">
        <v>36</v>
      </c>
      <c r="P83" s="5" t="s">
        <v>72</v>
      </c>
      <c r="Q83" s="2" t="s">
        <v>36</v>
      </c>
      <c r="R83" s="2" t="s">
        <v>36</v>
      </c>
      <c r="S83" s="2" t="s">
        <v>72</v>
      </c>
      <c r="T83" s="2" t="s">
        <v>36</v>
      </c>
    </row>
    <row r="84" spans="1:20">
      <c r="A84" s="51" t="s">
        <v>105</v>
      </c>
      <c r="B84" s="1" t="s">
        <v>113</v>
      </c>
      <c r="C84" s="2">
        <v>145</v>
      </c>
      <c r="D84" s="2">
        <f>C84*0.963</f>
        <v>139.63499999999999</v>
      </c>
      <c r="E84" s="10">
        <v>0</v>
      </c>
      <c r="F84" s="5">
        <f t="shared" si="19"/>
        <v>0.96299999999999997</v>
      </c>
      <c r="G84" s="4">
        <v>31</v>
      </c>
      <c r="H84" s="2">
        <v>467</v>
      </c>
      <c r="I84" s="2">
        <v>547</v>
      </c>
      <c r="J84" s="3">
        <f t="shared" si="20"/>
        <v>0.8537477148080439</v>
      </c>
      <c r="K84" s="4">
        <v>24</v>
      </c>
      <c r="L84" s="2">
        <v>353</v>
      </c>
      <c r="M84" s="2">
        <v>432</v>
      </c>
      <c r="N84" s="5">
        <f t="shared" si="21"/>
        <v>0.81712962962962965</v>
      </c>
      <c r="O84" s="2" t="s">
        <v>36</v>
      </c>
      <c r="P84" s="5" t="s">
        <v>72</v>
      </c>
      <c r="Q84" s="2" t="s">
        <v>36</v>
      </c>
      <c r="R84" s="2" t="s">
        <v>36</v>
      </c>
      <c r="S84" s="2" t="s">
        <v>36</v>
      </c>
      <c r="T84" s="7" t="s">
        <v>72</v>
      </c>
    </row>
    <row r="85" spans="1:20">
      <c r="A85" s="51" t="s">
        <v>105</v>
      </c>
      <c r="B85" s="1" t="s">
        <v>114</v>
      </c>
      <c r="C85" s="2">
        <v>484</v>
      </c>
      <c r="D85" s="2">
        <v>167</v>
      </c>
      <c r="E85" s="2">
        <v>10</v>
      </c>
      <c r="F85" s="5">
        <f t="shared" si="19"/>
        <v>0.36570247933884298</v>
      </c>
      <c r="G85" s="4">
        <v>263</v>
      </c>
      <c r="H85" s="2">
        <v>2607</v>
      </c>
      <c r="I85" s="2">
        <v>4723</v>
      </c>
      <c r="J85" s="3">
        <f t="shared" si="20"/>
        <v>0.55197967393605762</v>
      </c>
      <c r="K85" s="4">
        <v>84</v>
      </c>
      <c r="L85" s="2">
        <v>1198</v>
      </c>
      <c r="M85" s="2">
        <v>1496</v>
      </c>
      <c r="N85" s="5">
        <f t="shared" si="21"/>
        <v>0.80080213903743314</v>
      </c>
      <c r="O85" s="2" t="s">
        <v>36</v>
      </c>
      <c r="P85" s="5" t="s">
        <v>72</v>
      </c>
      <c r="Q85" s="2" t="s">
        <v>36</v>
      </c>
      <c r="R85" s="2" t="s">
        <v>36</v>
      </c>
      <c r="S85" s="2" t="s">
        <v>36</v>
      </c>
      <c r="T85" s="2" t="s">
        <v>36</v>
      </c>
    </row>
    <row r="86" spans="1:20">
      <c r="A86" s="51" t="s">
        <v>105</v>
      </c>
      <c r="B86" s="1" t="s">
        <v>115</v>
      </c>
      <c r="C86" s="2">
        <v>110</v>
      </c>
      <c r="D86" s="2">
        <v>52</v>
      </c>
      <c r="E86" s="2">
        <v>6</v>
      </c>
      <c r="F86" s="5">
        <f t="shared" si="19"/>
        <v>0.52727272727272723</v>
      </c>
      <c r="G86" s="4">
        <v>61</v>
      </c>
      <c r="H86" s="2">
        <v>715</v>
      </c>
      <c r="I86" s="2">
        <v>1086</v>
      </c>
      <c r="J86" s="3">
        <f t="shared" si="20"/>
        <v>0.65837937384898715</v>
      </c>
      <c r="K86" s="4">
        <v>60</v>
      </c>
      <c r="L86" s="2">
        <v>695</v>
      </c>
      <c r="M86" s="2">
        <v>1066</v>
      </c>
      <c r="N86" s="5">
        <f t="shared" si="21"/>
        <v>0.65196998123827388</v>
      </c>
      <c r="O86" s="2" t="s">
        <v>36</v>
      </c>
      <c r="P86" s="5" t="s">
        <v>72</v>
      </c>
      <c r="Q86" s="10" t="s">
        <v>72</v>
      </c>
      <c r="R86" s="2" t="s">
        <v>36</v>
      </c>
      <c r="S86" s="2" t="s">
        <v>36</v>
      </c>
      <c r="T86" s="2" t="s">
        <v>36</v>
      </c>
    </row>
    <row r="87" spans="1:20">
      <c r="A87" s="51" t="s">
        <v>105</v>
      </c>
      <c r="B87" s="1" t="s">
        <v>116</v>
      </c>
      <c r="C87" s="2">
        <v>558</v>
      </c>
      <c r="D87" s="2">
        <f>C87*0.963</f>
        <v>537.35399999999993</v>
      </c>
      <c r="E87" s="10">
        <v>0</v>
      </c>
      <c r="F87" s="5">
        <f t="shared" si="19"/>
        <v>0.96299999999999986</v>
      </c>
      <c r="G87" s="4">
        <v>415</v>
      </c>
      <c r="H87" s="2">
        <v>4727</v>
      </c>
      <c r="I87" s="2">
        <v>7456</v>
      </c>
      <c r="J87" s="11">
        <f t="shared" si="20"/>
        <v>0.63398605150214593</v>
      </c>
      <c r="K87" s="4">
        <v>294</v>
      </c>
      <c r="L87" s="2">
        <v>3283</v>
      </c>
      <c r="M87" s="2">
        <v>5278</v>
      </c>
      <c r="N87" s="5">
        <f t="shared" si="21"/>
        <v>0.62201591511936338</v>
      </c>
      <c r="O87" s="5" t="s">
        <v>72</v>
      </c>
      <c r="P87" s="5" t="s">
        <v>72</v>
      </c>
      <c r="Q87" s="2" t="s">
        <v>36</v>
      </c>
      <c r="R87" s="2" t="s">
        <v>36</v>
      </c>
      <c r="S87" s="2" t="s">
        <v>36</v>
      </c>
      <c r="T87" s="7" t="s">
        <v>72</v>
      </c>
    </row>
    <row r="88" spans="1:20">
      <c r="A88" s="51" t="s">
        <v>105</v>
      </c>
      <c r="B88" s="1" t="s">
        <v>117</v>
      </c>
      <c r="C88" s="2">
        <v>1080</v>
      </c>
      <c r="D88" s="2">
        <v>553</v>
      </c>
      <c r="E88" s="2">
        <v>63</v>
      </c>
      <c r="F88" s="5">
        <f t="shared" si="19"/>
        <v>0.57037037037037042</v>
      </c>
      <c r="G88" s="4">
        <v>865</v>
      </c>
      <c r="H88" s="2">
        <v>10518</v>
      </c>
      <c r="I88" s="2">
        <v>15562</v>
      </c>
      <c r="J88" s="11">
        <f t="shared" si="20"/>
        <v>0.67587713661483095</v>
      </c>
      <c r="K88" s="4">
        <v>362</v>
      </c>
      <c r="L88" s="2">
        <v>4677</v>
      </c>
      <c r="M88" s="2">
        <v>6500</v>
      </c>
      <c r="N88" s="5">
        <f t="shared" si="21"/>
        <v>0.71953846153846157</v>
      </c>
      <c r="O88" s="2" t="s">
        <v>36</v>
      </c>
      <c r="P88" s="5" t="s">
        <v>72</v>
      </c>
      <c r="Q88" s="2" t="s">
        <v>36</v>
      </c>
      <c r="R88" s="2" t="s">
        <v>36</v>
      </c>
      <c r="S88" s="2" t="s">
        <v>72</v>
      </c>
      <c r="T88" s="2" t="s">
        <v>36</v>
      </c>
    </row>
    <row r="89" spans="1:20">
      <c r="A89" s="51" t="s">
        <v>105</v>
      </c>
      <c r="B89" s="1" t="s">
        <v>118</v>
      </c>
      <c r="C89" s="2">
        <v>858</v>
      </c>
      <c r="D89" s="2">
        <v>441</v>
      </c>
      <c r="E89" s="2">
        <v>43</v>
      </c>
      <c r="F89" s="5">
        <f t="shared" si="19"/>
        <v>0.5641025641025641</v>
      </c>
      <c r="G89" s="4">
        <v>510</v>
      </c>
      <c r="H89" s="2">
        <v>6396</v>
      </c>
      <c r="I89" s="2">
        <v>9178</v>
      </c>
      <c r="J89" s="11">
        <f t="shared" si="20"/>
        <v>0.69688385269121811</v>
      </c>
      <c r="K89" s="4">
        <v>319</v>
      </c>
      <c r="L89" s="2">
        <v>3869</v>
      </c>
      <c r="M89" s="2">
        <v>5737</v>
      </c>
      <c r="N89" s="5">
        <f t="shared" si="21"/>
        <v>0.67439428272616353</v>
      </c>
      <c r="O89" s="2" t="s">
        <v>36</v>
      </c>
      <c r="P89" s="5" t="s">
        <v>72</v>
      </c>
      <c r="Q89" s="2" t="s">
        <v>36</v>
      </c>
      <c r="R89" s="2" t="s">
        <v>36</v>
      </c>
      <c r="S89" s="2" t="s">
        <v>72</v>
      </c>
      <c r="T89" s="2" t="s">
        <v>36</v>
      </c>
    </row>
    <row r="90" spans="1:20">
      <c r="A90" s="51" t="s">
        <v>105</v>
      </c>
      <c r="B90" s="1" t="s">
        <v>119</v>
      </c>
      <c r="C90" s="2">
        <v>429</v>
      </c>
      <c r="D90" s="2">
        <f>C90*0.963</f>
        <v>413.12700000000001</v>
      </c>
      <c r="E90" s="10">
        <v>0</v>
      </c>
      <c r="F90" s="5">
        <f t="shared" si="19"/>
        <v>0.96299999999999997</v>
      </c>
      <c r="G90" s="4">
        <v>345</v>
      </c>
      <c r="H90" s="2">
        <v>4144</v>
      </c>
      <c r="I90" s="2">
        <v>6198</v>
      </c>
      <c r="J90" s="11">
        <f t="shared" si="20"/>
        <v>0.66860277508873833</v>
      </c>
      <c r="K90" s="4">
        <v>316</v>
      </c>
      <c r="L90" s="2">
        <v>5682</v>
      </c>
      <c r="M90" s="2">
        <v>5682</v>
      </c>
      <c r="N90" s="5">
        <f t="shared" si="21"/>
        <v>1</v>
      </c>
      <c r="O90" s="5" t="s">
        <v>72</v>
      </c>
      <c r="P90" s="5" t="s">
        <v>72</v>
      </c>
      <c r="Q90" s="10" t="s">
        <v>72</v>
      </c>
      <c r="R90" s="2" t="s">
        <v>36</v>
      </c>
      <c r="S90" s="2" t="s">
        <v>36</v>
      </c>
      <c r="T90" s="7" t="s">
        <v>72</v>
      </c>
    </row>
    <row r="91" spans="1:20">
      <c r="A91" s="51" t="s">
        <v>105</v>
      </c>
      <c r="B91" s="1" t="s">
        <v>120</v>
      </c>
      <c r="C91" s="2">
        <v>646</v>
      </c>
      <c r="D91" s="2">
        <v>276</v>
      </c>
      <c r="E91" s="2">
        <v>32</v>
      </c>
      <c r="F91" s="5">
        <f t="shared" si="19"/>
        <v>0.47678018575851394</v>
      </c>
      <c r="G91" s="4">
        <v>419</v>
      </c>
      <c r="H91" s="2">
        <v>4586</v>
      </c>
      <c r="I91" s="2">
        <v>7533</v>
      </c>
      <c r="J91" s="3">
        <f t="shared" si="20"/>
        <v>0.60878799946900308</v>
      </c>
      <c r="K91" s="4">
        <v>231</v>
      </c>
      <c r="L91" s="2">
        <v>2854</v>
      </c>
      <c r="M91" s="2">
        <v>4158</v>
      </c>
      <c r="N91" s="5">
        <f t="shared" si="21"/>
        <v>0.68638768638768644</v>
      </c>
      <c r="O91" s="2" t="s">
        <v>36</v>
      </c>
      <c r="P91" s="5" t="s">
        <v>72</v>
      </c>
      <c r="Q91" s="2" t="s">
        <v>36</v>
      </c>
      <c r="R91" s="2" t="s">
        <v>36</v>
      </c>
      <c r="S91" s="2" t="s">
        <v>36</v>
      </c>
      <c r="T91" s="2" t="s">
        <v>36</v>
      </c>
    </row>
    <row r="92" spans="1:20">
      <c r="A92" s="51" t="s">
        <v>105</v>
      </c>
      <c r="B92" s="1" t="s">
        <v>121</v>
      </c>
      <c r="C92" s="2">
        <v>744</v>
      </c>
      <c r="D92" s="2">
        <v>352</v>
      </c>
      <c r="E92" s="2">
        <v>29</v>
      </c>
      <c r="F92" s="5">
        <f t="shared" si="19"/>
        <v>0.51209677419354838</v>
      </c>
      <c r="G92" s="4">
        <v>586</v>
      </c>
      <c r="H92" s="2">
        <v>6867</v>
      </c>
      <c r="I92" s="2">
        <v>10536</v>
      </c>
      <c r="J92" s="3">
        <f t="shared" si="20"/>
        <v>0.65176537585421412</v>
      </c>
      <c r="K92" s="4">
        <v>177</v>
      </c>
      <c r="L92" s="2">
        <v>2208</v>
      </c>
      <c r="M92" s="2">
        <v>3174</v>
      </c>
      <c r="N92" s="5">
        <f t="shared" si="21"/>
        <v>0.69565217391304346</v>
      </c>
      <c r="O92" s="2" t="s">
        <v>36</v>
      </c>
      <c r="P92" s="5" t="s">
        <v>72</v>
      </c>
      <c r="Q92" s="2" t="s">
        <v>36</v>
      </c>
      <c r="R92" s="2" t="s">
        <v>36</v>
      </c>
      <c r="S92" s="2" t="s">
        <v>36</v>
      </c>
      <c r="T92" s="2" t="s">
        <v>36</v>
      </c>
    </row>
    <row r="93" spans="1:20">
      <c r="A93" s="51" t="s">
        <v>105</v>
      </c>
      <c r="B93" s="1" t="s">
        <v>122</v>
      </c>
      <c r="C93" s="2">
        <v>498</v>
      </c>
      <c r="D93" s="2">
        <f>C93*0.963</f>
        <v>479.57399999999996</v>
      </c>
      <c r="E93" s="10">
        <v>0</v>
      </c>
      <c r="F93" s="5">
        <f t="shared" si="19"/>
        <v>0.96299999999999986</v>
      </c>
      <c r="G93" s="4">
        <v>406</v>
      </c>
      <c r="H93" s="2">
        <v>5122</v>
      </c>
      <c r="I93" s="2">
        <v>7291</v>
      </c>
      <c r="J93" s="3">
        <f t="shared" si="20"/>
        <v>0.70250994376628717</v>
      </c>
      <c r="K93" s="4">
        <v>234</v>
      </c>
      <c r="L93" s="2">
        <v>3009</v>
      </c>
      <c r="M93" s="2">
        <v>4207</v>
      </c>
      <c r="N93" s="5">
        <f t="shared" si="21"/>
        <v>0.71523651057760873</v>
      </c>
      <c r="O93" s="2" t="s">
        <v>36</v>
      </c>
      <c r="P93" s="5" t="s">
        <v>72</v>
      </c>
      <c r="Q93" s="2" t="s">
        <v>36</v>
      </c>
      <c r="R93" s="2" t="s">
        <v>36</v>
      </c>
      <c r="S93" s="2" t="s">
        <v>36</v>
      </c>
      <c r="T93" s="7" t="s">
        <v>72</v>
      </c>
    </row>
    <row r="94" spans="1:20">
      <c r="A94" s="51" t="s">
        <v>105</v>
      </c>
      <c r="B94" s="1" t="s">
        <v>123</v>
      </c>
      <c r="C94" s="2">
        <v>390</v>
      </c>
      <c r="D94" s="2">
        <v>200</v>
      </c>
      <c r="E94" s="2">
        <v>25</v>
      </c>
      <c r="F94" s="5">
        <f t="shared" si="19"/>
        <v>0.57692307692307687</v>
      </c>
      <c r="G94" s="4">
        <v>250</v>
      </c>
      <c r="H94" s="2">
        <v>3323</v>
      </c>
      <c r="I94" s="2">
        <v>4483</v>
      </c>
      <c r="J94" s="3">
        <f t="shared" si="20"/>
        <v>0.7412447022083426</v>
      </c>
      <c r="K94" s="4">
        <v>142</v>
      </c>
      <c r="L94" s="2">
        <v>2063</v>
      </c>
      <c r="M94" s="2">
        <v>2554</v>
      </c>
      <c r="N94" s="5">
        <f t="shared" si="21"/>
        <v>0.80775254502740801</v>
      </c>
      <c r="O94" s="2" t="s">
        <v>36</v>
      </c>
      <c r="P94" s="5" t="s">
        <v>72</v>
      </c>
      <c r="Q94" s="2" t="s">
        <v>36</v>
      </c>
      <c r="R94" s="2" t="s">
        <v>36</v>
      </c>
      <c r="S94" s="2" t="s">
        <v>36</v>
      </c>
      <c r="T94" s="2" t="s">
        <v>36</v>
      </c>
    </row>
    <row r="95" spans="1:20">
      <c r="A95" s="51" t="s">
        <v>105</v>
      </c>
      <c r="B95" s="1" t="s">
        <v>124</v>
      </c>
      <c r="C95" s="2">
        <v>781</v>
      </c>
      <c r="D95" s="2">
        <v>222</v>
      </c>
      <c r="E95" s="2">
        <v>40</v>
      </c>
      <c r="F95" s="5">
        <f t="shared" si="19"/>
        <v>0.33546734955185659</v>
      </c>
      <c r="G95" s="4">
        <v>405</v>
      </c>
      <c r="H95" s="2">
        <v>3873</v>
      </c>
      <c r="I95" s="2">
        <v>7290</v>
      </c>
      <c r="J95" s="3">
        <f t="shared" si="20"/>
        <v>0.531275720164609</v>
      </c>
      <c r="K95" s="4">
        <v>129</v>
      </c>
      <c r="L95" s="2">
        <v>1604</v>
      </c>
      <c r="M95" s="2">
        <v>2312</v>
      </c>
      <c r="N95" s="5">
        <f t="shared" si="21"/>
        <v>0.69377162629757783</v>
      </c>
      <c r="O95" s="5" t="s">
        <v>72</v>
      </c>
      <c r="P95" s="5" t="s">
        <v>72</v>
      </c>
      <c r="Q95" s="2" t="s">
        <v>36</v>
      </c>
      <c r="R95" s="2" t="s">
        <v>36</v>
      </c>
      <c r="S95" s="2" t="s">
        <v>36</v>
      </c>
      <c r="T95" s="2" t="s">
        <v>36</v>
      </c>
    </row>
    <row r="96" spans="1:20">
      <c r="A96" s="51" t="s">
        <v>105</v>
      </c>
      <c r="B96" s="1" t="s">
        <v>125</v>
      </c>
      <c r="C96" s="2">
        <v>410</v>
      </c>
      <c r="D96" s="2">
        <f>C96*0.963</f>
        <v>394.83</v>
      </c>
      <c r="E96" s="10">
        <v>0</v>
      </c>
      <c r="F96" s="5">
        <f t="shared" si="19"/>
        <v>0.96299999999999997</v>
      </c>
      <c r="G96" s="4">
        <v>320</v>
      </c>
      <c r="H96" s="2">
        <v>4102</v>
      </c>
      <c r="I96" s="2">
        <v>5744</v>
      </c>
      <c r="J96" s="3">
        <f t="shared" si="20"/>
        <v>0.71413649025069637</v>
      </c>
      <c r="K96" s="4">
        <v>123</v>
      </c>
      <c r="L96" s="2">
        <v>1653</v>
      </c>
      <c r="M96" s="2">
        <v>2214</v>
      </c>
      <c r="N96" s="5">
        <f t="shared" si="21"/>
        <v>0.74661246612466126</v>
      </c>
      <c r="O96" s="2" t="s">
        <v>36</v>
      </c>
      <c r="P96" s="5" t="s">
        <v>72</v>
      </c>
      <c r="Q96" s="2" t="s">
        <v>36</v>
      </c>
      <c r="R96" s="2" t="s">
        <v>36</v>
      </c>
      <c r="S96" s="2" t="s">
        <v>36</v>
      </c>
      <c r="T96" s="7" t="s">
        <v>72</v>
      </c>
    </row>
    <row r="97" spans="1:20">
      <c r="A97" s="51" t="s">
        <v>105</v>
      </c>
      <c r="B97" s="1" t="s">
        <v>126</v>
      </c>
      <c r="C97" s="2">
        <v>110</v>
      </c>
      <c r="D97" s="2">
        <v>60</v>
      </c>
      <c r="E97" s="2">
        <v>8</v>
      </c>
      <c r="F97" s="5">
        <f t="shared" si="19"/>
        <v>0.61818181818181817</v>
      </c>
      <c r="G97" s="4">
        <v>45</v>
      </c>
      <c r="H97" s="2">
        <v>439</v>
      </c>
      <c r="I97" s="2">
        <v>797</v>
      </c>
      <c r="J97" s="3">
        <f t="shared" si="20"/>
        <v>0.55081555834378926</v>
      </c>
      <c r="K97" s="4">
        <v>46</v>
      </c>
      <c r="L97" s="2">
        <v>465</v>
      </c>
      <c r="M97" s="2">
        <v>814</v>
      </c>
      <c r="N97" s="5">
        <f t="shared" si="21"/>
        <v>0.57125307125307123</v>
      </c>
      <c r="O97" s="2" t="s">
        <v>36</v>
      </c>
      <c r="P97" s="5" t="s">
        <v>72</v>
      </c>
      <c r="Q97" s="2" t="s">
        <v>36</v>
      </c>
      <c r="R97" s="2" t="s">
        <v>36</v>
      </c>
      <c r="S97" s="2" t="s">
        <v>72</v>
      </c>
      <c r="T97" s="2" t="s">
        <v>36</v>
      </c>
    </row>
    <row r="98" spans="1:20">
      <c r="A98" s="51" t="s">
        <v>105</v>
      </c>
      <c r="B98" s="1" t="s">
        <v>127</v>
      </c>
      <c r="C98" s="2">
        <v>1190</v>
      </c>
      <c r="D98" s="2">
        <v>539</v>
      </c>
      <c r="E98" s="2">
        <v>41</v>
      </c>
      <c r="F98" s="5">
        <f t="shared" si="19"/>
        <v>0.48739495798319327</v>
      </c>
      <c r="G98" s="4">
        <v>691</v>
      </c>
      <c r="H98" s="2">
        <v>7888</v>
      </c>
      <c r="I98" s="2">
        <v>12434</v>
      </c>
      <c r="J98" s="3">
        <f t="shared" si="20"/>
        <v>0.63438957696638254</v>
      </c>
      <c r="K98" s="4">
        <v>265</v>
      </c>
      <c r="L98" s="2">
        <v>3805</v>
      </c>
      <c r="M98" s="2">
        <v>4767</v>
      </c>
      <c r="N98" s="5">
        <f t="shared" si="21"/>
        <v>0.79819593035452063</v>
      </c>
      <c r="O98" s="2" t="s">
        <v>36</v>
      </c>
      <c r="P98" s="5" t="s">
        <v>72</v>
      </c>
      <c r="Q98" s="2" t="s">
        <v>36</v>
      </c>
      <c r="R98" s="2" t="s">
        <v>36</v>
      </c>
      <c r="S98" s="2" t="s">
        <v>36</v>
      </c>
      <c r="T98" s="2" t="s">
        <v>36</v>
      </c>
    </row>
    <row r="99" spans="1:20">
      <c r="A99" s="51" t="s">
        <v>105</v>
      </c>
      <c r="B99" s="1" t="s">
        <v>128</v>
      </c>
      <c r="C99" s="2">
        <v>719</v>
      </c>
      <c r="D99" s="2">
        <f>C99*0.963</f>
        <v>692.39699999999993</v>
      </c>
      <c r="E99" s="10">
        <v>0</v>
      </c>
      <c r="F99" s="5">
        <f t="shared" si="19"/>
        <v>0.96299999999999986</v>
      </c>
      <c r="G99" s="4">
        <v>586</v>
      </c>
      <c r="H99" s="2">
        <v>8026</v>
      </c>
      <c r="I99" s="2">
        <v>10538</v>
      </c>
      <c r="J99" s="3">
        <f t="shared" si="20"/>
        <v>0.76162459669766558</v>
      </c>
      <c r="K99" s="4">
        <v>667</v>
      </c>
      <c r="L99" s="2">
        <v>12000</v>
      </c>
      <c r="M99" s="2">
        <v>12000</v>
      </c>
      <c r="N99" s="5">
        <f t="shared" si="21"/>
        <v>1</v>
      </c>
      <c r="O99" s="5" t="s">
        <v>72</v>
      </c>
      <c r="P99" s="5" t="s">
        <v>72</v>
      </c>
      <c r="Q99" s="2" t="s">
        <v>36</v>
      </c>
      <c r="R99" s="2" t="s">
        <v>36</v>
      </c>
      <c r="S99" s="2" t="s">
        <v>36</v>
      </c>
      <c r="T99" s="7" t="s">
        <v>72</v>
      </c>
    </row>
    <row r="100" spans="1:20">
      <c r="A100" s="51" t="s">
        <v>105</v>
      </c>
      <c r="B100" s="1" t="s">
        <v>129</v>
      </c>
      <c r="C100" s="2">
        <v>291</v>
      </c>
      <c r="D100" s="2">
        <f>C100*0.963</f>
        <v>280.233</v>
      </c>
      <c r="E100" s="10">
        <v>0</v>
      </c>
      <c r="F100" s="5">
        <f t="shared" si="19"/>
        <v>0.96299999999999997</v>
      </c>
      <c r="G100" s="4">
        <v>222</v>
      </c>
      <c r="H100" s="2">
        <v>3669</v>
      </c>
      <c r="I100" s="2">
        <v>3981</v>
      </c>
      <c r="J100" s="3">
        <f t="shared" si="20"/>
        <v>0.92162773172569701</v>
      </c>
      <c r="K100" s="4">
        <v>206</v>
      </c>
      <c r="L100" s="2">
        <v>3451</v>
      </c>
      <c r="M100" s="2">
        <v>3697</v>
      </c>
      <c r="N100" s="5">
        <f t="shared" si="21"/>
        <v>0.9334595618068704</v>
      </c>
      <c r="O100" s="5" t="s">
        <v>72</v>
      </c>
      <c r="P100" s="5" t="s">
        <v>72</v>
      </c>
      <c r="Q100" s="2" t="s">
        <v>36</v>
      </c>
      <c r="R100" s="2" t="s">
        <v>36</v>
      </c>
      <c r="S100" s="2" t="s">
        <v>36</v>
      </c>
      <c r="T100" s="7" t="s">
        <v>72</v>
      </c>
    </row>
    <row r="101" spans="1:20">
      <c r="A101" s="51" t="s">
        <v>105</v>
      </c>
      <c r="B101" s="1" t="s">
        <v>130</v>
      </c>
      <c r="C101" s="2">
        <v>370</v>
      </c>
      <c r="D101" s="2">
        <f>C101*0.963</f>
        <v>356.31</v>
      </c>
      <c r="E101" s="10">
        <v>0</v>
      </c>
      <c r="F101" s="5">
        <f t="shared" si="19"/>
        <v>0.96299999999999997</v>
      </c>
      <c r="G101" s="4">
        <v>330</v>
      </c>
      <c r="H101" s="2">
        <v>4853</v>
      </c>
      <c r="I101" s="2">
        <v>5940</v>
      </c>
      <c r="J101" s="3">
        <f t="shared" si="20"/>
        <v>0.81700336700336695</v>
      </c>
      <c r="K101" s="4">
        <v>232</v>
      </c>
      <c r="L101" s="2">
        <v>4168</v>
      </c>
      <c r="M101" s="2">
        <v>4168</v>
      </c>
      <c r="N101" s="5">
        <f t="shared" si="21"/>
        <v>1</v>
      </c>
      <c r="O101" s="5" t="s">
        <v>72</v>
      </c>
      <c r="P101" s="5" t="s">
        <v>72</v>
      </c>
      <c r="Q101" s="2" t="s">
        <v>36</v>
      </c>
      <c r="R101" s="2" t="s">
        <v>36</v>
      </c>
      <c r="S101" s="2" t="s">
        <v>36</v>
      </c>
      <c r="T101" s="7" t="s">
        <v>72</v>
      </c>
    </row>
    <row r="102" spans="1:20">
      <c r="A102" s="51" t="s">
        <v>105</v>
      </c>
      <c r="B102" s="1" t="s">
        <v>131</v>
      </c>
      <c r="C102" s="2">
        <v>143</v>
      </c>
      <c r="D102" s="2">
        <f>C102*0.963</f>
        <v>137.709</v>
      </c>
      <c r="E102" s="10">
        <v>0</v>
      </c>
      <c r="F102" s="5">
        <f t="shared" si="19"/>
        <v>0.96299999999999997</v>
      </c>
      <c r="G102" s="4">
        <v>46</v>
      </c>
      <c r="H102" s="2">
        <v>468</v>
      </c>
      <c r="I102" s="2">
        <v>828</v>
      </c>
      <c r="J102" s="3">
        <f t="shared" si="20"/>
        <v>0.56521739130434778</v>
      </c>
      <c r="K102" s="4">
        <v>22</v>
      </c>
      <c r="L102" s="2">
        <v>223</v>
      </c>
      <c r="M102" s="2">
        <v>390</v>
      </c>
      <c r="N102" s="5">
        <f t="shared" si="21"/>
        <v>0.57179487179487176</v>
      </c>
      <c r="O102" s="2" t="s">
        <v>36</v>
      </c>
      <c r="P102" s="5" t="s">
        <v>72</v>
      </c>
      <c r="Q102" s="2" t="s">
        <v>36</v>
      </c>
      <c r="R102" s="2" t="s">
        <v>36</v>
      </c>
      <c r="S102" s="2" t="s">
        <v>36</v>
      </c>
      <c r="T102" s="7" t="s">
        <v>72</v>
      </c>
    </row>
    <row r="103" spans="1:20">
      <c r="A103" s="51" t="s">
        <v>105</v>
      </c>
      <c r="B103" s="1" t="s">
        <v>132</v>
      </c>
      <c r="C103" s="2">
        <v>900</v>
      </c>
      <c r="D103" s="2">
        <v>451</v>
      </c>
      <c r="E103" s="2">
        <v>52</v>
      </c>
      <c r="F103" s="5">
        <f t="shared" si="19"/>
        <v>0.55888888888888888</v>
      </c>
      <c r="G103" s="4">
        <v>691</v>
      </c>
      <c r="H103" s="2">
        <v>8266</v>
      </c>
      <c r="I103" s="2">
        <v>12422</v>
      </c>
      <c r="J103" s="3">
        <f t="shared" si="20"/>
        <v>0.66543229753662858</v>
      </c>
      <c r="K103" s="4">
        <v>394</v>
      </c>
      <c r="L103" s="2">
        <v>5505</v>
      </c>
      <c r="M103" s="2">
        <v>7091</v>
      </c>
      <c r="N103" s="5">
        <f t="shared" si="21"/>
        <v>0.77633620081793819</v>
      </c>
      <c r="O103" s="2" t="s">
        <v>72</v>
      </c>
      <c r="P103" s="5" t="s">
        <v>72</v>
      </c>
      <c r="Q103" s="10" t="s">
        <v>36</v>
      </c>
      <c r="R103" s="2" t="s">
        <v>36</v>
      </c>
      <c r="S103" s="2" t="s">
        <v>72</v>
      </c>
      <c r="T103" s="2" t="s">
        <v>36</v>
      </c>
    </row>
    <row r="104" spans="1:20">
      <c r="A104" s="51" t="s">
        <v>105</v>
      </c>
      <c r="B104" s="1" t="s">
        <v>133</v>
      </c>
      <c r="C104" s="2">
        <v>550</v>
      </c>
      <c r="D104" s="2">
        <f>C104*0.963</f>
        <v>529.65</v>
      </c>
      <c r="E104" s="10">
        <v>0</v>
      </c>
      <c r="F104" s="5">
        <f t="shared" si="19"/>
        <v>0.96299999999999997</v>
      </c>
      <c r="G104" s="4">
        <v>409</v>
      </c>
      <c r="H104" s="2">
        <v>4915</v>
      </c>
      <c r="I104" s="2">
        <v>7351</v>
      </c>
      <c r="J104" s="3">
        <f t="shared" si="20"/>
        <v>0.66861651475989659</v>
      </c>
      <c r="K104" s="4">
        <v>100</v>
      </c>
      <c r="L104" s="2">
        <v>1272</v>
      </c>
      <c r="M104" s="2">
        <v>1795</v>
      </c>
      <c r="N104" s="5">
        <f t="shared" si="21"/>
        <v>0.70863509749303621</v>
      </c>
      <c r="O104" s="2" t="s">
        <v>36</v>
      </c>
      <c r="P104" s="5" t="s">
        <v>72</v>
      </c>
      <c r="Q104" s="10" t="s">
        <v>36</v>
      </c>
      <c r="R104" s="2" t="s">
        <v>36</v>
      </c>
      <c r="S104" s="2" t="s">
        <v>36</v>
      </c>
      <c r="T104" s="7" t="s">
        <v>72</v>
      </c>
    </row>
    <row r="105" spans="1:20">
      <c r="A105" s="51" t="s">
        <v>105</v>
      </c>
      <c r="B105" s="1" t="s">
        <v>134</v>
      </c>
      <c r="C105" s="2">
        <v>339</v>
      </c>
      <c r="D105" s="2">
        <f>C105*0.963</f>
        <v>326.45699999999999</v>
      </c>
      <c r="E105" s="10">
        <v>0</v>
      </c>
      <c r="F105" s="5">
        <f t="shared" si="19"/>
        <v>0.96299999999999997</v>
      </c>
      <c r="G105" s="4">
        <v>276</v>
      </c>
      <c r="H105" s="2">
        <v>4284</v>
      </c>
      <c r="I105" s="2">
        <v>4958</v>
      </c>
      <c r="J105" s="3">
        <f t="shared" si="20"/>
        <v>0.86405808793868499</v>
      </c>
      <c r="K105" s="4">
        <v>253</v>
      </c>
      <c r="L105" s="2">
        <v>4539</v>
      </c>
      <c r="M105" s="2">
        <v>4539</v>
      </c>
      <c r="N105" s="5">
        <f t="shared" si="21"/>
        <v>1</v>
      </c>
      <c r="O105" s="5" t="s">
        <v>72</v>
      </c>
      <c r="P105" s="5" t="s">
        <v>72</v>
      </c>
      <c r="Q105" s="2" t="s">
        <v>72</v>
      </c>
      <c r="R105" s="2" t="s">
        <v>36</v>
      </c>
      <c r="S105" s="2" t="s">
        <v>36</v>
      </c>
      <c r="T105" s="7" t="s">
        <v>72</v>
      </c>
    </row>
    <row r="106" spans="1:20">
      <c r="A106" s="51" t="s">
        <v>105</v>
      </c>
      <c r="B106" s="1" t="s">
        <v>135</v>
      </c>
      <c r="C106" s="2">
        <v>368</v>
      </c>
      <c r="D106" s="2">
        <v>131</v>
      </c>
      <c r="E106" s="2">
        <v>15</v>
      </c>
      <c r="F106" s="5">
        <f t="shared" si="19"/>
        <v>0.39673913043478259</v>
      </c>
      <c r="G106" s="4">
        <v>200</v>
      </c>
      <c r="H106" s="2">
        <v>2128</v>
      </c>
      <c r="I106" s="2">
        <v>3600</v>
      </c>
      <c r="J106" s="3">
        <f t="shared" si="20"/>
        <v>0.59111111111111114</v>
      </c>
      <c r="K106" s="4">
        <v>105</v>
      </c>
      <c r="L106" s="2">
        <v>1256</v>
      </c>
      <c r="M106" s="2">
        <v>1876</v>
      </c>
      <c r="N106" s="5">
        <f t="shared" si="21"/>
        <v>0.66950959488272921</v>
      </c>
      <c r="O106" s="5" t="s">
        <v>72</v>
      </c>
      <c r="P106" s="5" t="s">
        <v>72</v>
      </c>
      <c r="Q106" s="2" t="s">
        <v>36</v>
      </c>
      <c r="R106" s="2" t="s">
        <v>36</v>
      </c>
      <c r="S106" s="2" t="s">
        <v>36</v>
      </c>
      <c r="T106" s="2" t="s">
        <v>36</v>
      </c>
    </row>
    <row r="107" spans="1:20">
      <c r="A107" s="51" t="s">
        <v>105</v>
      </c>
      <c r="B107" s="1" t="s">
        <v>136</v>
      </c>
      <c r="C107" s="2">
        <v>403</v>
      </c>
      <c r="D107" s="2">
        <v>225</v>
      </c>
      <c r="E107" s="2">
        <v>15</v>
      </c>
      <c r="F107" s="5">
        <f t="shared" si="19"/>
        <v>0.59553349875930517</v>
      </c>
      <c r="G107" s="4">
        <v>249</v>
      </c>
      <c r="H107" s="2">
        <v>3313</v>
      </c>
      <c r="I107" s="2">
        <v>4468</v>
      </c>
      <c r="J107" s="3">
        <f t="shared" si="20"/>
        <v>0.74149507609668752</v>
      </c>
      <c r="K107" s="4">
        <v>155</v>
      </c>
      <c r="L107" s="2">
        <v>2163</v>
      </c>
      <c r="M107" s="2">
        <v>2780</v>
      </c>
      <c r="N107" s="5">
        <f t="shared" si="21"/>
        <v>0.77805755395683451</v>
      </c>
      <c r="O107" s="5" t="s">
        <v>72</v>
      </c>
      <c r="P107" s="5" t="s">
        <v>72</v>
      </c>
      <c r="Q107" s="2" t="s">
        <v>36</v>
      </c>
      <c r="R107" s="2" t="s">
        <v>36</v>
      </c>
      <c r="S107" s="2" t="s">
        <v>36</v>
      </c>
      <c r="T107" s="2" t="s">
        <v>36</v>
      </c>
    </row>
    <row r="108" spans="1:20">
      <c r="A108" s="51" t="s">
        <v>137</v>
      </c>
      <c r="B108" s="1" t="s">
        <v>189</v>
      </c>
      <c r="C108" s="2">
        <v>400</v>
      </c>
      <c r="D108" s="2">
        <v>400</v>
      </c>
      <c r="E108" s="2">
        <v>0</v>
      </c>
      <c r="F108" s="5">
        <v>0.81140000000000001</v>
      </c>
      <c r="G108" s="4">
        <f>SUM(I108/19)</f>
        <v>344.21052631578948</v>
      </c>
      <c r="H108" s="2">
        <v>5304</v>
      </c>
      <c r="I108" s="2">
        <v>6540</v>
      </c>
      <c r="J108" s="3">
        <f>SUM(H108/I108)</f>
        <v>0.81100917431192665</v>
      </c>
      <c r="K108" s="4">
        <f>SUM(M108/19)</f>
        <v>274.68421052631578</v>
      </c>
      <c r="L108" s="2">
        <v>4233</v>
      </c>
      <c r="M108" s="4">
        <v>5219</v>
      </c>
      <c r="N108" s="3">
        <f>SUM(L108/M108)</f>
        <v>0.81107491856677527</v>
      </c>
      <c r="O108" s="5"/>
      <c r="P108" s="5" t="s">
        <v>73</v>
      </c>
      <c r="Q108" s="2" t="s">
        <v>73</v>
      </c>
      <c r="R108" s="2" t="s">
        <v>36</v>
      </c>
      <c r="S108" s="2"/>
      <c r="T108" s="6" t="s">
        <v>73</v>
      </c>
    </row>
    <row r="109" spans="1:20">
      <c r="A109" s="51" t="s">
        <v>137</v>
      </c>
      <c r="B109" s="1" t="s">
        <v>190</v>
      </c>
      <c r="C109" s="2">
        <v>623</v>
      </c>
      <c r="D109" s="2">
        <v>623</v>
      </c>
      <c r="E109" s="2">
        <v>0</v>
      </c>
      <c r="F109" s="5">
        <v>0.81140000000000001</v>
      </c>
      <c r="G109" s="4">
        <f t="shared" ref="G109:G121" si="22">SUM(I109/19)</f>
        <v>546.57894736842104</v>
      </c>
      <c r="H109" s="2">
        <v>8422</v>
      </c>
      <c r="I109" s="2">
        <v>10385</v>
      </c>
      <c r="J109" s="3">
        <f t="shared" ref="J109:J121" si="23">SUM(H109/I109)</f>
        <v>0.8109773712084738</v>
      </c>
      <c r="K109" s="4">
        <f t="shared" ref="K109:K121" si="24">SUM(M109/19)</f>
        <v>467</v>
      </c>
      <c r="L109" s="2">
        <v>7196</v>
      </c>
      <c r="M109" s="4">
        <v>8873</v>
      </c>
      <c r="N109" s="3">
        <f t="shared" ref="N109:N121" si="25">SUM(L109/M109)</f>
        <v>0.81099966189563844</v>
      </c>
      <c r="O109" s="5" t="s">
        <v>73</v>
      </c>
      <c r="P109" s="5" t="s">
        <v>73</v>
      </c>
      <c r="Q109" s="2" t="s">
        <v>73</v>
      </c>
      <c r="R109" s="2" t="s">
        <v>36</v>
      </c>
      <c r="S109" s="2"/>
      <c r="T109" s="7" t="s">
        <v>73</v>
      </c>
    </row>
    <row r="110" spans="1:20">
      <c r="A110" s="51" t="s">
        <v>137</v>
      </c>
      <c r="B110" s="1" t="s">
        <v>191</v>
      </c>
      <c r="C110" s="2">
        <v>478</v>
      </c>
      <c r="D110" s="2">
        <v>478</v>
      </c>
      <c r="E110" s="2">
        <v>0</v>
      </c>
      <c r="F110" s="5">
        <v>0.81140000000000001</v>
      </c>
      <c r="G110" s="4">
        <f t="shared" si="22"/>
        <v>405.4736842105263</v>
      </c>
      <c r="H110" s="2">
        <v>6248</v>
      </c>
      <c r="I110" s="2">
        <v>7704</v>
      </c>
      <c r="J110" s="3">
        <f t="shared" si="23"/>
        <v>0.81100726895119424</v>
      </c>
      <c r="K110" s="4">
        <f t="shared" si="24"/>
        <v>343.42105263157896</v>
      </c>
      <c r="L110" s="2">
        <v>5292</v>
      </c>
      <c r="M110" s="4">
        <v>6525</v>
      </c>
      <c r="N110" s="3">
        <f t="shared" si="25"/>
        <v>0.81103448275862067</v>
      </c>
      <c r="O110" s="5"/>
      <c r="P110" s="5" t="s">
        <v>73</v>
      </c>
      <c r="Q110" s="2" t="s">
        <v>73</v>
      </c>
      <c r="R110" s="2" t="s">
        <v>36</v>
      </c>
      <c r="S110" s="2"/>
      <c r="T110" s="7" t="s">
        <v>73</v>
      </c>
    </row>
    <row r="111" spans="1:20">
      <c r="A111" s="51" t="s">
        <v>137</v>
      </c>
      <c r="B111" s="1" t="s">
        <v>192</v>
      </c>
      <c r="C111" s="2">
        <v>324</v>
      </c>
      <c r="D111" s="2">
        <v>324</v>
      </c>
      <c r="E111" s="2">
        <v>0</v>
      </c>
      <c r="F111" s="5">
        <v>0.81140000000000001</v>
      </c>
      <c r="G111" s="4">
        <f t="shared" si="22"/>
        <v>280.68421052631578</v>
      </c>
      <c r="H111" s="2">
        <v>4325</v>
      </c>
      <c r="I111" s="2">
        <v>5333</v>
      </c>
      <c r="J111" s="3">
        <f t="shared" si="23"/>
        <v>0.81098818676167261</v>
      </c>
      <c r="K111" s="4">
        <f t="shared" si="24"/>
        <v>227.57894736842104</v>
      </c>
      <c r="L111" s="2">
        <v>3507</v>
      </c>
      <c r="M111" s="4">
        <v>4324</v>
      </c>
      <c r="N111" s="3">
        <f t="shared" si="25"/>
        <v>0.81105457909343204</v>
      </c>
      <c r="O111" s="5"/>
      <c r="P111" s="5" t="s">
        <v>73</v>
      </c>
      <c r="Q111" s="2" t="s">
        <v>73</v>
      </c>
      <c r="R111" s="2" t="s">
        <v>36</v>
      </c>
      <c r="S111" s="2"/>
      <c r="T111" s="7" t="s">
        <v>73</v>
      </c>
    </row>
    <row r="112" spans="1:20">
      <c r="A112" s="51" t="s">
        <v>137</v>
      </c>
      <c r="B112" s="1" t="s">
        <v>193</v>
      </c>
      <c r="C112" s="2">
        <v>1124</v>
      </c>
      <c r="D112" s="2">
        <v>1124</v>
      </c>
      <c r="E112" s="2">
        <v>0</v>
      </c>
      <c r="F112" s="5">
        <v>0.81140000000000001</v>
      </c>
      <c r="G112" s="4">
        <f t="shared" si="22"/>
        <v>943.10526315789468</v>
      </c>
      <c r="H112" s="2">
        <v>14532</v>
      </c>
      <c r="I112" s="2">
        <v>17919</v>
      </c>
      <c r="J112" s="3">
        <f t="shared" si="23"/>
        <v>0.81098275573413692</v>
      </c>
      <c r="K112" s="4">
        <f t="shared" si="24"/>
        <v>731.42105263157896</v>
      </c>
      <c r="L112" s="2">
        <v>11270</v>
      </c>
      <c r="M112" s="4">
        <v>13897</v>
      </c>
      <c r="N112" s="3">
        <f t="shared" si="25"/>
        <v>0.81096639562495498</v>
      </c>
      <c r="O112" s="5"/>
      <c r="P112" s="5" t="s">
        <v>73</v>
      </c>
      <c r="Q112" s="2" t="s">
        <v>73</v>
      </c>
      <c r="R112" s="2" t="s">
        <v>36</v>
      </c>
      <c r="S112" s="2"/>
      <c r="T112" s="7" t="s">
        <v>73</v>
      </c>
    </row>
    <row r="113" spans="1:20">
      <c r="A113" s="51" t="s">
        <v>137</v>
      </c>
      <c r="B113" s="1" t="s">
        <v>194</v>
      </c>
      <c r="C113" s="2">
        <v>870</v>
      </c>
      <c r="D113" s="2">
        <v>870</v>
      </c>
      <c r="E113" s="2">
        <v>0</v>
      </c>
      <c r="F113" s="5">
        <v>0.81140000000000001</v>
      </c>
      <c r="G113" s="4">
        <f t="shared" si="22"/>
        <v>703.47368421052636</v>
      </c>
      <c r="H113" s="2">
        <v>10840</v>
      </c>
      <c r="I113" s="2">
        <v>13366</v>
      </c>
      <c r="J113" s="3">
        <f t="shared" si="23"/>
        <v>0.81101301810564119</v>
      </c>
      <c r="K113" s="4">
        <f t="shared" si="24"/>
        <v>638.63157894736844</v>
      </c>
      <c r="L113" s="4">
        <v>9841</v>
      </c>
      <c r="M113" s="4">
        <v>12134</v>
      </c>
      <c r="N113" s="3">
        <f t="shared" si="25"/>
        <v>0.81102686665567825</v>
      </c>
      <c r="O113" s="5"/>
      <c r="P113" s="5" t="s">
        <v>73</v>
      </c>
      <c r="Q113" s="2" t="s">
        <v>73</v>
      </c>
      <c r="R113" s="2" t="s">
        <v>36</v>
      </c>
      <c r="S113" s="2"/>
      <c r="T113" s="7" t="s">
        <v>73</v>
      </c>
    </row>
    <row r="114" spans="1:20">
      <c r="A114" s="51" t="s">
        <v>137</v>
      </c>
      <c r="B114" s="1" t="s">
        <v>195</v>
      </c>
      <c r="C114" s="2">
        <v>576</v>
      </c>
      <c r="D114" s="2">
        <v>576</v>
      </c>
      <c r="E114" s="2">
        <v>0</v>
      </c>
      <c r="F114" s="5">
        <v>0.81140000000000001</v>
      </c>
      <c r="G114" s="4">
        <f t="shared" si="22"/>
        <v>513.31578947368416</v>
      </c>
      <c r="H114" s="2">
        <v>7910</v>
      </c>
      <c r="I114" s="2">
        <v>9753</v>
      </c>
      <c r="J114" s="3">
        <f t="shared" si="23"/>
        <v>0.81103250281964523</v>
      </c>
      <c r="K114" s="4">
        <f t="shared" si="24"/>
        <v>469.31578947368422</v>
      </c>
      <c r="L114" s="4">
        <v>7232</v>
      </c>
      <c r="M114" s="4">
        <v>8917</v>
      </c>
      <c r="N114" s="3">
        <f t="shared" si="25"/>
        <v>0.81103510149153302</v>
      </c>
      <c r="O114" s="5"/>
      <c r="P114" s="5" t="s">
        <v>73</v>
      </c>
      <c r="Q114" s="2" t="s">
        <v>73</v>
      </c>
      <c r="R114" s="2" t="s">
        <v>36</v>
      </c>
      <c r="S114" s="2"/>
      <c r="T114" s="7" t="s">
        <v>73</v>
      </c>
    </row>
    <row r="115" spans="1:20">
      <c r="A115" s="51" t="s">
        <v>137</v>
      </c>
      <c r="B115" s="1" t="s">
        <v>196</v>
      </c>
      <c r="C115" s="2">
        <v>510</v>
      </c>
      <c r="D115" s="2">
        <v>510</v>
      </c>
      <c r="E115" s="2">
        <v>0</v>
      </c>
      <c r="F115" s="5">
        <v>0.81140000000000001</v>
      </c>
      <c r="G115" s="4">
        <f t="shared" si="22"/>
        <v>456.57894736842104</v>
      </c>
      <c r="H115" s="2">
        <v>7035</v>
      </c>
      <c r="I115" s="2">
        <v>8675</v>
      </c>
      <c r="J115" s="3">
        <f t="shared" si="23"/>
        <v>0.81095100864553316</v>
      </c>
      <c r="K115" s="4">
        <f t="shared" si="24"/>
        <v>377.5263157894737</v>
      </c>
      <c r="L115" s="4">
        <v>5817</v>
      </c>
      <c r="M115" s="4">
        <v>7173</v>
      </c>
      <c r="N115" s="3">
        <f t="shared" si="25"/>
        <v>0.81095775826014216</v>
      </c>
      <c r="O115" s="5" t="s">
        <v>73</v>
      </c>
      <c r="P115" s="5" t="s">
        <v>73</v>
      </c>
      <c r="Q115" s="2" t="s">
        <v>73</v>
      </c>
      <c r="R115" s="2" t="s">
        <v>36</v>
      </c>
      <c r="S115" s="2"/>
      <c r="T115" s="7" t="s">
        <v>73</v>
      </c>
    </row>
    <row r="116" spans="1:20">
      <c r="A116" s="51" t="s">
        <v>137</v>
      </c>
      <c r="B116" s="56" t="s">
        <v>197</v>
      </c>
      <c r="C116" s="57">
        <v>1086</v>
      </c>
      <c r="D116" s="57">
        <v>401</v>
      </c>
      <c r="E116" s="57">
        <v>84</v>
      </c>
      <c r="F116" s="58">
        <v>0.81140000000000001</v>
      </c>
      <c r="G116" s="59">
        <f t="shared" si="22"/>
        <v>908.9473684210526</v>
      </c>
      <c r="H116" s="57">
        <v>9169</v>
      </c>
      <c r="I116" s="57">
        <v>17270</v>
      </c>
      <c r="J116" s="60">
        <f t="shared" si="23"/>
        <v>0.5309206716850029</v>
      </c>
      <c r="K116" s="59">
        <f t="shared" si="24"/>
        <v>707.78947368421052</v>
      </c>
      <c r="L116" s="59">
        <v>7755</v>
      </c>
      <c r="M116" s="59">
        <v>13448</v>
      </c>
      <c r="N116" s="60">
        <f t="shared" si="25"/>
        <v>0.57666567519333733</v>
      </c>
      <c r="O116" s="5"/>
      <c r="P116" s="5" t="s">
        <v>73</v>
      </c>
      <c r="Q116" s="2" t="s">
        <v>73</v>
      </c>
      <c r="R116" s="2" t="s">
        <v>36</v>
      </c>
      <c r="S116" s="2" t="s">
        <v>73</v>
      </c>
      <c r="T116" s="7"/>
    </row>
    <row r="117" spans="1:20">
      <c r="A117" s="51" t="s">
        <v>137</v>
      </c>
      <c r="B117" s="56" t="s">
        <v>198</v>
      </c>
      <c r="C117" s="57">
        <v>750</v>
      </c>
      <c r="D117" s="57">
        <v>750</v>
      </c>
      <c r="E117" s="57">
        <v>0</v>
      </c>
      <c r="F117" s="58">
        <v>0.81140000000000001</v>
      </c>
      <c r="G117" s="59">
        <f t="shared" si="22"/>
        <v>693.42105263157896</v>
      </c>
      <c r="H117" s="57">
        <v>9763</v>
      </c>
      <c r="I117" s="57">
        <v>13175</v>
      </c>
      <c r="J117" s="60">
        <f t="shared" si="23"/>
        <v>0.74102466793168875</v>
      </c>
      <c r="K117" s="59">
        <f t="shared" si="24"/>
        <v>491.73684210526318</v>
      </c>
      <c r="L117" s="59">
        <v>6923</v>
      </c>
      <c r="M117" s="59">
        <v>9343</v>
      </c>
      <c r="N117" s="60">
        <f t="shared" si="25"/>
        <v>0.74098255378358124</v>
      </c>
      <c r="O117" s="5"/>
      <c r="P117" s="5"/>
      <c r="Q117" s="2" t="s">
        <v>73</v>
      </c>
      <c r="R117" s="2" t="s">
        <v>36</v>
      </c>
      <c r="S117" s="2"/>
      <c r="T117" s="7" t="s">
        <v>73</v>
      </c>
    </row>
    <row r="118" spans="1:20">
      <c r="A118" s="51" t="s">
        <v>137</v>
      </c>
      <c r="B118" s="56" t="s">
        <v>199</v>
      </c>
      <c r="C118" s="57">
        <v>791</v>
      </c>
      <c r="D118" s="57">
        <v>791</v>
      </c>
      <c r="E118" s="57">
        <v>0</v>
      </c>
      <c r="F118" s="58">
        <v>0.95020000000000004</v>
      </c>
      <c r="G118" s="59">
        <f t="shared" si="22"/>
        <v>660.15789473684208</v>
      </c>
      <c r="H118" s="57">
        <v>11916</v>
      </c>
      <c r="I118" s="57">
        <v>12543</v>
      </c>
      <c r="J118" s="60">
        <f t="shared" si="23"/>
        <v>0.95001195886151635</v>
      </c>
      <c r="K118" s="59">
        <f t="shared" si="24"/>
        <v>451.73684210526318</v>
      </c>
      <c r="L118" s="59">
        <v>8154</v>
      </c>
      <c r="M118" s="59">
        <v>8583</v>
      </c>
      <c r="N118" s="60">
        <f t="shared" si="25"/>
        <v>0.95001747640685075</v>
      </c>
      <c r="O118" s="5"/>
      <c r="P118" s="5" t="s">
        <v>73</v>
      </c>
      <c r="Q118" s="2"/>
      <c r="R118" s="2" t="s">
        <v>36</v>
      </c>
      <c r="S118" s="2"/>
      <c r="T118" s="7" t="s">
        <v>73</v>
      </c>
    </row>
    <row r="119" spans="1:20">
      <c r="A119" s="51" t="s">
        <v>137</v>
      </c>
      <c r="B119" s="56" t="s">
        <v>200</v>
      </c>
      <c r="C119" s="57">
        <v>2087</v>
      </c>
      <c r="D119" s="57">
        <v>977</v>
      </c>
      <c r="E119" s="57">
        <v>134</v>
      </c>
      <c r="F119" s="58">
        <v>0.81140000000000001</v>
      </c>
      <c r="G119" s="59">
        <f t="shared" si="22"/>
        <v>1332.421052631579</v>
      </c>
      <c r="H119" s="57">
        <v>16037</v>
      </c>
      <c r="I119" s="57">
        <v>25316</v>
      </c>
      <c r="J119" s="60">
        <f t="shared" si="23"/>
        <v>0.6334729025122452</v>
      </c>
      <c r="K119" s="59">
        <f t="shared" si="24"/>
        <v>886.9473684210526</v>
      </c>
      <c r="L119" s="59">
        <v>10664</v>
      </c>
      <c r="M119" s="59">
        <v>16852</v>
      </c>
      <c r="N119" s="60">
        <f t="shared" si="25"/>
        <v>0.63280322810348921</v>
      </c>
      <c r="O119" s="5"/>
      <c r="P119" s="5" t="s">
        <v>73</v>
      </c>
      <c r="Q119" s="2" t="s">
        <v>73</v>
      </c>
      <c r="R119" s="2" t="s">
        <v>36</v>
      </c>
      <c r="S119" s="2" t="s">
        <v>73</v>
      </c>
      <c r="T119" s="7"/>
    </row>
    <row r="120" spans="1:20">
      <c r="A120" s="51" t="s">
        <v>137</v>
      </c>
      <c r="B120" s="1" t="s">
        <v>201</v>
      </c>
      <c r="C120" s="2">
        <v>220</v>
      </c>
      <c r="D120" s="2">
        <v>220</v>
      </c>
      <c r="E120" s="2">
        <v>0</v>
      </c>
      <c r="F120" s="5">
        <v>0.81140000000000001</v>
      </c>
      <c r="G120" s="4">
        <f t="shared" si="22"/>
        <v>126.15789473684211</v>
      </c>
      <c r="H120" s="2">
        <v>1944</v>
      </c>
      <c r="I120" s="2">
        <v>2397</v>
      </c>
      <c r="J120" s="3">
        <f t="shared" si="23"/>
        <v>0.8110137672090113</v>
      </c>
      <c r="K120" s="4">
        <f t="shared" si="24"/>
        <v>125.10526315789474</v>
      </c>
      <c r="L120" s="4">
        <v>1928</v>
      </c>
      <c r="M120" s="4">
        <v>2377</v>
      </c>
      <c r="N120" s="3">
        <f t="shared" si="25"/>
        <v>0.8111064366848969</v>
      </c>
      <c r="O120" s="5" t="s">
        <v>73</v>
      </c>
      <c r="P120" s="5" t="s">
        <v>73</v>
      </c>
      <c r="Q120" s="2" t="s">
        <v>73</v>
      </c>
      <c r="R120" s="2" t="s">
        <v>36</v>
      </c>
      <c r="S120" s="2"/>
      <c r="T120" s="7" t="s">
        <v>73</v>
      </c>
    </row>
    <row r="121" spans="1:20">
      <c r="A121" s="51" t="s">
        <v>137</v>
      </c>
      <c r="B121" s="1" t="s">
        <v>202</v>
      </c>
      <c r="C121" s="2">
        <v>146</v>
      </c>
      <c r="D121" s="2">
        <v>146</v>
      </c>
      <c r="E121" s="2">
        <v>0</v>
      </c>
      <c r="F121" s="5">
        <v>0.74099999999999999</v>
      </c>
      <c r="G121" s="4">
        <f t="shared" si="22"/>
        <v>67.21052631578948</v>
      </c>
      <c r="H121" s="2">
        <v>946</v>
      </c>
      <c r="I121" s="2">
        <v>1277</v>
      </c>
      <c r="J121" s="3">
        <f t="shared" si="23"/>
        <v>0.74079874706342996</v>
      </c>
      <c r="K121" s="4">
        <f t="shared" si="24"/>
        <v>60.526315789473685</v>
      </c>
      <c r="L121" s="4">
        <v>852</v>
      </c>
      <c r="M121" s="4">
        <v>1150</v>
      </c>
      <c r="N121" s="3">
        <f t="shared" si="25"/>
        <v>0.74086956521739133</v>
      </c>
      <c r="O121" s="5"/>
      <c r="P121" s="5" t="s">
        <v>73</v>
      </c>
      <c r="Q121" s="2"/>
      <c r="R121" s="2" t="s">
        <v>36</v>
      </c>
      <c r="S121" s="2"/>
      <c r="T121" s="7" t="s">
        <v>73</v>
      </c>
    </row>
    <row r="122" spans="1:20">
      <c r="A122" s="51" t="s">
        <v>143</v>
      </c>
      <c r="B122" s="1" t="s">
        <v>203</v>
      </c>
      <c r="C122" s="2">
        <v>12</v>
      </c>
      <c r="D122" s="2">
        <v>12</v>
      </c>
      <c r="E122" s="2">
        <v>0</v>
      </c>
      <c r="F122" s="5">
        <f t="shared" ref="F122:F124" si="26">SUM(D122+E122)/C122</f>
        <v>1</v>
      </c>
      <c r="G122" s="4">
        <v>9</v>
      </c>
      <c r="H122" s="2">
        <v>164</v>
      </c>
      <c r="I122" s="2">
        <v>164</v>
      </c>
      <c r="J122" s="3">
        <f>SUM(H122/I122)</f>
        <v>1</v>
      </c>
      <c r="K122" s="4">
        <v>9</v>
      </c>
      <c r="L122" s="2">
        <v>174</v>
      </c>
      <c r="M122" s="2">
        <v>174</v>
      </c>
      <c r="N122" s="5">
        <f>SUM(L122/M122)</f>
        <v>1</v>
      </c>
      <c r="O122" s="5"/>
      <c r="P122" s="5"/>
      <c r="Q122" s="2" t="s">
        <v>36</v>
      </c>
      <c r="R122" s="2" t="s">
        <v>36</v>
      </c>
      <c r="S122" s="2" t="s">
        <v>36</v>
      </c>
      <c r="T122" s="6" t="s">
        <v>36</v>
      </c>
    </row>
    <row r="123" spans="1:20">
      <c r="A123" s="51" t="s">
        <v>143</v>
      </c>
      <c r="B123" s="1" t="s">
        <v>204</v>
      </c>
      <c r="C123" s="2">
        <v>8</v>
      </c>
      <c r="D123" s="2">
        <v>8</v>
      </c>
      <c r="E123" s="2">
        <v>0</v>
      </c>
      <c r="F123" s="5">
        <f t="shared" si="26"/>
        <v>1</v>
      </c>
      <c r="G123" s="4">
        <v>6</v>
      </c>
      <c r="H123" s="2">
        <v>126</v>
      </c>
      <c r="I123" s="2">
        <v>126</v>
      </c>
      <c r="J123" s="3">
        <f t="shared" ref="J123:J124" si="27">SUM(H123/I123)</f>
        <v>1</v>
      </c>
      <c r="K123" s="4">
        <v>4</v>
      </c>
      <c r="L123" s="2">
        <v>91</v>
      </c>
      <c r="M123" s="2">
        <v>91</v>
      </c>
      <c r="N123" s="5">
        <f t="shared" ref="N123:N124" si="28">SUM(L123/M123)</f>
        <v>1</v>
      </c>
      <c r="O123" s="5"/>
      <c r="P123" s="5"/>
      <c r="Q123" s="2"/>
      <c r="R123" s="2"/>
      <c r="S123" s="2"/>
      <c r="T123" s="7"/>
    </row>
    <row r="124" spans="1:20">
      <c r="A124" s="51" t="s">
        <v>143</v>
      </c>
      <c r="B124" s="1" t="s">
        <v>205</v>
      </c>
      <c r="C124" s="2">
        <v>22</v>
      </c>
      <c r="D124" s="2">
        <v>22</v>
      </c>
      <c r="E124" s="2">
        <v>0</v>
      </c>
      <c r="F124" s="5">
        <f t="shared" si="26"/>
        <v>1</v>
      </c>
      <c r="G124" s="4">
        <v>10</v>
      </c>
      <c r="H124" s="2">
        <v>203</v>
      </c>
      <c r="I124" s="2">
        <v>203</v>
      </c>
      <c r="J124" s="3">
        <f t="shared" si="27"/>
        <v>1</v>
      </c>
      <c r="K124" s="4">
        <v>8</v>
      </c>
      <c r="L124" s="2">
        <v>150</v>
      </c>
      <c r="M124" s="2">
        <v>150</v>
      </c>
      <c r="N124" s="5">
        <f t="shared" si="28"/>
        <v>1</v>
      </c>
      <c r="O124" s="5"/>
      <c r="P124" s="5"/>
      <c r="Q124" s="2"/>
      <c r="R124" s="2"/>
      <c r="S124" s="2"/>
      <c r="T124" s="7"/>
    </row>
    <row r="125" spans="1:20">
      <c r="A125" s="50" t="s">
        <v>144</v>
      </c>
      <c r="B125" s="1" t="s">
        <v>144</v>
      </c>
      <c r="C125" s="2">
        <v>270</v>
      </c>
      <c r="D125" s="2">
        <v>155</v>
      </c>
      <c r="E125" s="2">
        <v>18</v>
      </c>
      <c r="F125" s="5">
        <f t="shared" ref="F125" si="29">SUM(D125+E125)/C125</f>
        <v>0.64074074074074072</v>
      </c>
      <c r="G125" s="4">
        <v>108</v>
      </c>
      <c r="H125" s="2">
        <v>2152</v>
      </c>
      <c r="I125" s="2">
        <v>2492</v>
      </c>
      <c r="J125" s="3">
        <f t="shared" ref="J125" si="30">SUM(H125/I125)</f>
        <v>0.8635634028892456</v>
      </c>
      <c r="K125" s="4">
        <v>39</v>
      </c>
      <c r="L125" s="2">
        <v>729</v>
      </c>
      <c r="M125" s="2">
        <v>785</v>
      </c>
      <c r="N125" s="5">
        <f t="shared" ref="N125" si="31">SUM(L125/M125)</f>
        <v>0.92866242038216562</v>
      </c>
      <c r="O125" s="5" t="s">
        <v>72</v>
      </c>
      <c r="P125" s="5" t="s">
        <v>36</v>
      </c>
      <c r="Q125" s="2" t="s">
        <v>36</v>
      </c>
      <c r="R125" s="2" t="s">
        <v>36</v>
      </c>
      <c r="S125" s="2" t="s">
        <v>36</v>
      </c>
      <c r="T125" s="7" t="s">
        <v>36</v>
      </c>
    </row>
    <row r="126" spans="1:20">
      <c r="A126" s="50" t="s">
        <v>145</v>
      </c>
      <c r="B126" s="1" t="s">
        <v>206</v>
      </c>
      <c r="C126" s="2">
        <v>272</v>
      </c>
      <c r="D126" s="2">
        <v>149</v>
      </c>
      <c r="E126" s="2">
        <v>28</v>
      </c>
      <c r="F126" s="5">
        <f t="shared" ref="F126" si="32">SUM(D126+E126)/C126</f>
        <v>0.65073529411764708</v>
      </c>
      <c r="G126" s="4">
        <v>154</v>
      </c>
      <c r="H126" s="2">
        <v>2216</v>
      </c>
      <c r="I126" s="2">
        <v>3232</v>
      </c>
      <c r="J126" s="3">
        <f t="shared" ref="J126" si="33">SUM(H126/I126)</f>
        <v>0.6856435643564357</v>
      </c>
      <c r="K126" s="4">
        <v>52</v>
      </c>
      <c r="L126" s="2">
        <v>911</v>
      </c>
      <c r="M126" s="2">
        <v>1090</v>
      </c>
      <c r="N126" s="5">
        <f t="shared" ref="N126" si="34">SUM(L126/M126)</f>
        <v>0.83577981651376143</v>
      </c>
      <c r="O126" s="5"/>
      <c r="P126" s="5"/>
      <c r="Q126" s="2" t="s">
        <v>36</v>
      </c>
      <c r="R126" s="2" t="s">
        <v>36</v>
      </c>
      <c r="S126" s="2" t="s">
        <v>36</v>
      </c>
      <c r="T126" s="7" t="s">
        <v>36</v>
      </c>
    </row>
    <row r="127" spans="1:20">
      <c r="A127" s="50" t="s">
        <v>146</v>
      </c>
      <c r="B127" s="1" t="s">
        <v>207</v>
      </c>
      <c r="C127" s="2">
        <v>1333</v>
      </c>
      <c r="D127" s="2">
        <v>445</v>
      </c>
      <c r="E127" s="2">
        <v>65</v>
      </c>
      <c r="F127" s="5">
        <f t="shared" ref="F127" si="35">SUM(D127+E127)/C127</f>
        <v>0.38259564891222808</v>
      </c>
      <c r="G127" s="4">
        <v>788</v>
      </c>
      <c r="H127" s="2">
        <v>7926</v>
      </c>
      <c r="I127" s="2">
        <v>15768</v>
      </c>
      <c r="J127" s="3">
        <f>SUM(H127/I127)</f>
        <v>0.50266362252663621</v>
      </c>
      <c r="K127" s="4">
        <v>361</v>
      </c>
      <c r="L127" s="2">
        <v>4469</v>
      </c>
      <c r="M127" s="2">
        <v>7211</v>
      </c>
      <c r="N127" s="5">
        <f>SUM(L127/M127)</f>
        <v>0.61974760782138405</v>
      </c>
      <c r="O127" s="5" t="s">
        <v>72</v>
      </c>
      <c r="P127" s="5"/>
      <c r="Q127" s="2" t="s">
        <v>36</v>
      </c>
      <c r="R127" s="2" t="s">
        <v>36</v>
      </c>
      <c r="S127" s="2" t="s">
        <v>36</v>
      </c>
      <c r="T127" s="6" t="s">
        <v>36</v>
      </c>
    </row>
    <row r="128" spans="1:20" ht="25">
      <c r="A128" s="51" t="s">
        <v>147</v>
      </c>
      <c r="B128" s="14" t="s">
        <v>208</v>
      </c>
      <c r="C128" s="2">
        <v>26</v>
      </c>
      <c r="D128" s="2">
        <v>26</v>
      </c>
      <c r="E128" s="2">
        <v>0</v>
      </c>
      <c r="F128" s="5">
        <f t="shared" ref="F128:F135" si="36">SUM(D128+E128)/C128</f>
        <v>1</v>
      </c>
      <c r="G128" s="4">
        <v>17</v>
      </c>
      <c r="H128" s="2">
        <v>519</v>
      </c>
      <c r="I128" s="2">
        <v>519</v>
      </c>
      <c r="J128" s="3">
        <f>SUM(H128/I128)</f>
        <v>1</v>
      </c>
      <c r="K128" s="4">
        <v>17</v>
      </c>
      <c r="L128" s="2">
        <v>517</v>
      </c>
      <c r="M128" s="2">
        <v>517</v>
      </c>
      <c r="N128" s="5">
        <f>SUM(L128/M128)</f>
        <v>1</v>
      </c>
      <c r="O128" s="5"/>
      <c r="P128" s="5"/>
      <c r="Q128" s="2" t="s">
        <v>36</v>
      </c>
      <c r="R128" s="2" t="s">
        <v>36</v>
      </c>
      <c r="S128" s="2" t="s">
        <v>36</v>
      </c>
      <c r="T128" s="6" t="s">
        <v>36</v>
      </c>
    </row>
    <row r="129" spans="1:20">
      <c r="A129" s="51" t="s">
        <v>147</v>
      </c>
      <c r="B129" s="14" t="s">
        <v>209</v>
      </c>
      <c r="C129" s="2">
        <v>10</v>
      </c>
      <c r="D129" s="2">
        <v>10</v>
      </c>
      <c r="E129" s="2"/>
      <c r="F129" s="5">
        <f t="shared" si="36"/>
        <v>1</v>
      </c>
      <c r="G129" s="4">
        <v>9</v>
      </c>
      <c r="H129" s="2">
        <v>269</v>
      </c>
      <c r="I129" s="2">
        <v>269</v>
      </c>
      <c r="J129" s="3">
        <f t="shared" ref="J129:J135" si="37">SUM(H129/I129)</f>
        <v>1</v>
      </c>
      <c r="K129" s="4">
        <v>9</v>
      </c>
      <c r="L129" s="2">
        <v>267</v>
      </c>
      <c r="M129" s="2">
        <v>267</v>
      </c>
      <c r="N129" s="5">
        <f t="shared" ref="N129:N135" si="38">SUM(L129/M129)</f>
        <v>1</v>
      </c>
      <c r="O129" s="5"/>
      <c r="P129" s="5"/>
      <c r="Q129" s="2"/>
      <c r="R129" s="2"/>
      <c r="S129" s="2"/>
      <c r="T129" s="7"/>
    </row>
    <row r="130" spans="1:20" ht="25">
      <c r="A130" s="51" t="s">
        <v>147</v>
      </c>
      <c r="B130" s="14" t="s">
        <v>210</v>
      </c>
      <c r="C130" s="2">
        <v>158</v>
      </c>
      <c r="D130" s="2">
        <v>158</v>
      </c>
      <c r="E130" s="2"/>
      <c r="F130" s="5">
        <f t="shared" si="36"/>
        <v>1</v>
      </c>
      <c r="G130" s="4">
        <v>147</v>
      </c>
      <c r="H130" s="2">
        <v>4531</v>
      </c>
      <c r="I130" s="2">
        <v>4531</v>
      </c>
      <c r="J130" s="3">
        <f t="shared" si="37"/>
        <v>1</v>
      </c>
      <c r="K130" s="4">
        <v>146</v>
      </c>
      <c r="L130" s="2">
        <v>4524</v>
      </c>
      <c r="M130" s="2">
        <v>4524</v>
      </c>
      <c r="N130" s="5">
        <f t="shared" si="38"/>
        <v>1</v>
      </c>
      <c r="O130" s="5"/>
      <c r="P130" s="5"/>
      <c r="Q130" s="2"/>
      <c r="R130" s="2"/>
      <c r="S130" s="2"/>
      <c r="T130" s="7"/>
    </row>
    <row r="131" spans="1:20" ht="25">
      <c r="A131" s="51" t="s">
        <v>147</v>
      </c>
      <c r="B131" s="14" t="s">
        <v>211</v>
      </c>
      <c r="C131" s="2">
        <v>35</v>
      </c>
      <c r="D131" s="2">
        <v>35</v>
      </c>
      <c r="E131" s="2"/>
      <c r="F131" s="5">
        <f t="shared" si="36"/>
        <v>1</v>
      </c>
      <c r="G131" s="4">
        <v>32</v>
      </c>
      <c r="H131" s="2">
        <v>968</v>
      </c>
      <c r="I131" s="2">
        <v>968</v>
      </c>
      <c r="J131" s="3">
        <f t="shared" si="37"/>
        <v>1</v>
      </c>
      <c r="K131" s="4">
        <v>32</v>
      </c>
      <c r="L131" s="2">
        <v>965</v>
      </c>
      <c r="M131" s="2">
        <v>965</v>
      </c>
      <c r="N131" s="5">
        <f t="shared" si="38"/>
        <v>1</v>
      </c>
      <c r="O131" s="5"/>
      <c r="P131" s="5"/>
      <c r="Q131" s="2"/>
      <c r="R131" s="2"/>
      <c r="S131" s="2"/>
      <c r="T131" s="7"/>
    </row>
    <row r="132" spans="1:20" ht="25">
      <c r="A132" s="51" t="s">
        <v>147</v>
      </c>
      <c r="B132" s="14" t="s">
        <v>212</v>
      </c>
      <c r="C132" s="2">
        <v>4</v>
      </c>
      <c r="D132" s="2">
        <v>4</v>
      </c>
      <c r="E132" s="2"/>
      <c r="F132" s="5">
        <f t="shared" si="36"/>
        <v>1</v>
      </c>
      <c r="G132" s="4">
        <v>0</v>
      </c>
      <c r="H132" s="2">
        <v>0</v>
      </c>
      <c r="I132" s="2">
        <v>0</v>
      </c>
      <c r="J132" s="3">
        <v>1</v>
      </c>
      <c r="K132" s="4">
        <v>1</v>
      </c>
      <c r="L132" s="2">
        <v>11</v>
      </c>
      <c r="M132" s="2">
        <v>11</v>
      </c>
      <c r="N132" s="5">
        <f t="shared" si="38"/>
        <v>1</v>
      </c>
      <c r="O132" s="5"/>
      <c r="P132" s="5"/>
      <c r="Q132" s="2"/>
      <c r="R132" s="2"/>
      <c r="S132" s="2"/>
      <c r="T132" s="7"/>
    </row>
    <row r="133" spans="1:20">
      <c r="A133" s="51" t="s">
        <v>147</v>
      </c>
      <c r="B133" s="1" t="s">
        <v>213</v>
      </c>
      <c r="C133" s="2">
        <v>14</v>
      </c>
      <c r="D133" s="2">
        <v>14</v>
      </c>
      <c r="E133" s="2"/>
      <c r="F133" s="5">
        <f t="shared" si="36"/>
        <v>1</v>
      </c>
      <c r="G133" s="4">
        <v>9</v>
      </c>
      <c r="H133" s="2">
        <v>249</v>
      </c>
      <c r="I133" s="2">
        <v>249</v>
      </c>
      <c r="J133" s="3">
        <f t="shared" si="37"/>
        <v>1</v>
      </c>
      <c r="K133" s="4">
        <v>9</v>
      </c>
      <c r="L133" s="2">
        <v>249</v>
      </c>
      <c r="M133" s="2">
        <v>249</v>
      </c>
      <c r="N133" s="5">
        <f t="shared" si="38"/>
        <v>1</v>
      </c>
      <c r="O133" s="5"/>
      <c r="P133" s="5"/>
      <c r="Q133" s="2"/>
      <c r="R133" s="2"/>
      <c r="S133" s="2"/>
      <c r="T133" s="7"/>
    </row>
    <row r="134" spans="1:20">
      <c r="A134" s="51" t="s">
        <v>147</v>
      </c>
      <c r="B134" s="14" t="s">
        <v>214</v>
      </c>
      <c r="C134" s="2">
        <v>72</v>
      </c>
      <c r="D134" s="2">
        <v>72</v>
      </c>
      <c r="E134" s="2"/>
      <c r="F134" s="5">
        <f t="shared" si="36"/>
        <v>1</v>
      </c>
      <c r="G134" s="4">
        <v>64</v>
      </c>
      <c r="H134" s="2">
        <v>1961</v>
      </c>
      <c r="I134" s="2">
        <v>1961</v>
      </c>
      <c r="J134" s="3">
        <f t="shared" si="37"/>
        <v>1</v>
      </c>
      <c r="K134" s="4">
        <v>64</v>
      </c>
      <c r="L134" s="2">
        <v>1959</v>
      </c>
      <c r="M134" s="2">
        <v>1959</v>
      </c>
      <c r="N134" s="5">
        <f t="shared" si="38"/>
        <v>1</v>
      </c>
      <c r="O134" s="5"/>
      <c r="P134" s="5"/>
      <c r="Q134" s="2"/>
      <c r="R134" s="2"/>
      <c r="S134" s="2"/>
      <c r="T134" s="7"/>
    </row>
    <row r="135" spans="1:20" ht="25">
      <c r="A135" s="51" t="s">
        <v>147</v>
      </c>
      <c r="B135" s="14" t="s">
        <v>215</v>
      </c>
      <c r="C135" s="2">
        <v>18</v>
      </c>
      <c r="D135" s="2">
        <v>18</v>
      </c>
      <c r="E135" s="2"/>
      <c r="F135" s="5">
        <f t="shared" si="36"/>
        <v>1</v>
      </c>
      <c r="G135" s="4">
        <v>13</v>
      </c>
      <c r="H135" s="2">
        <v>380</v>
      </c>
      <c r="I135" s="2">
        <v>380</v>
      </c>
      <c r="J135" s="3">
        <f t="shared" si="37"/>
        <v>1</v>
      </c>
      <c r="K135" s="4">
        <v>13</v>
      </c>
      <c r="L135" s="2">
        <v>377</v>
      </c>
      <c r="M135" s="2">
        <v>377</v>
      </c>
      <c r="N135" s="5">
        <f t="shared" si="38"/>
        <v>1</v>
      </c>
      <c r="O135" s="5"/>
      <c r="P135" s="5"/>
      <c r="Q135" s="2"/>
      <c r="R135" s="2"/>
      <c r="S135" s="2"/>
      <c r="T135" s="7"/>
    </row>
    <row r="136" spans="1:20">
      <c r="A136" s="51" t="s">
        <v>147</v>
      </c>
      <c r="B136" s="1" t="s">
        <v>216</v>
      </c>
      <c r="C136" s="2">
        <v>0</v>
      </c>
      <c r="D136" s="2">
        <v>0</v>
      </c>
      <c r="E136" s="2"/>
      <c r="F136" s="5">
        <v>1</v>
      </c>
      <c r="G136" s="4">
        <v>0</v>
      </c>
      <c r="H136" s="2">
        <v>0</v>
      </c>
      <c r="I136" s="2">
        <v>0</v>
      </c>
      <c r="J136" s="3">
        <v>1</v>
      </c>
      <c r="K136" s="4">
        <v>0</v>
      </c>
      <c r="L136" s="2">
        <v>0</v>
      </c>
      <c r="M136" s="2">
        <v>0</v>
      </c>
      <c r="N136" s="5">
        <v>1</v>
      </c>
      <c r="O136" s="5"/>
      <c r="P136" s="5"/>
      <c r="Q136" s="2"/>
      <c r="R136" s="2"/>
      <c r="S136" s="2"/>
      <c r="T136" s="7"/>
    </row>
    <row r="137" spans="1:20">
      <c r="A137" s="51" t="s">
        <v>148</v>
      </c>
      <c r="B137" s="1" t="s">
        <v>217</v>
      </c>
      <c r="C137" s="2">
        <v>1079</v>
      </c>
      <c r="D137" s="2">
        <v>1079</v>
      </c>
      <c r="E137" s="2">
        <v>0</v>
      </c>
      <c r="F137" s="5">
        <f t="shared" ref="F137:F142" si="39">SUM(D137+E137)/C137</f>
        <v>1</v>
      </c>
      <c r="G137" s="4">
        <v>1079</v>
      </c>
      <c r="H137" s="2">
        <v>1079</v>
      </c>
      <c r="I137" s="2">
        <v>1079</v>
      </c>
      <c r="J137" s="3">
        <f>SUM(H137/I137)</f>
        <v>1</v>
      </c>
      <c r="K137" s="4">
        <v>1079</v>
      </c>
      <c r="L137" s="2">
        <v>1079</v>
      </c>
      <c r="M137" s="2">
        <v>1079</v>
      </c>
      <c r="N137" s="5">
        <f>SUM(L137/M137)</f>
        <v>1</v>
      </c>
      <c r="O137" s="5"/>
      <c r="P137" s="5"/>
      <c r="Q137" s="2">
        <v>1079</v>
      </c>
      <c r="R137" s="2">
        <v>0</v>
      </c>
      <c r="S137" s="2"/>
      <c r="T137" s="6"/>
    </row>
    <row r="138" spans="1:20">
      <c r="A138" s="51" t="s">
        <v>148</v>
      </c>
      <c r="B138" s="1" t="s">
        <v>218</v>
      </c>
      <c r="C138" s="2">
        <v>1199</v>
      </c>
      <c r="D138" s="2">
        <v>1199</v>
      </c>
      <c r="E138" s="2">
        <v>0</v>
      </c>
      <c r="F138" s="5">
        <f t="shared" si="39"/>
        <v>1</v>
      </c>
      <c r="G138" s="4">
        <v>1199</v>
      </c>
      <c r="H138" s="2">
        <v>1198</v>
      </c>
      <c r="I138" s="2">
        <v>1198</v>
      </c>
      <c r="J138" s="3">
        <f t="shared" ref="J138:J142" si="40">SUM(H138/I138)</f>
        <v>1</v>
      </c>
      <c r="K138" s="4">
        <v>1199</v>
      </c>
      <c r="L138" s="2">
        <v>1199</v>
      </c>
      <c r="M138" s="2">
        <v>1198</v>
      </c>
      <c r="N138" s="5">
        <f t="shared" ref="N138:N142" si="41">SUM(L138/M138)</f>
        <v>1.0008347245409015</v>
      </c>
      <c r="O138" s="5"/>
      <c r="P138" s="5"/>
      <c r="Q138" s="2">
        <v>1199</v>
      </c>
      <c r="R138" s="2">
        <v>0</v>
      </c>
      <c r="S138" s="2"/>
      <c r="T138" s="7"/>
    </row>
    <row r="139" spans="1:20">
      <c r="A139" s="51" t="s">
        <v>148</v>
      </c>
      <c r="B139" s="1" t="s">
        <v>219</v>
      </c>
      <c r="C139" s="2">
        <v>2050</v>
      </c>
      <c r="D139" s="2">
        <v>2050</v>
      </c>
      <c r="E139" s="2">
        <v>0</v>
      </c>
      <c r="F139" s="5">
        <f t="shared" si="39"/>
        <v>1</v>
      </c>
      <c r="G139" s="4">
        <v>2050</v>
      </c>
      <c r="H139" s="2">
        <v>2036</v>
      </c>
      <c r="I139" s="2">
        <v>2036</v>
      </c>
      <c r="J139" s="3">
        <f t="shared" si="40"/>
        <v>1</v>
      </c>
      <c r="K139" s="4">
        <v>2050</v>
      </c>
      <c r="L139" s="2">
        <v>2040</v>
      </c>
      <c r="M139" s="2">
        <v>2040</v>
      </c>
      <c r="N139" s="5">
        <f t="shared" si="41"/>
        <v>1</v>
      </c>
      <c r="O139" s="5"/>
      <c r="P139" s="5"/>
      <c r="Q139" s="2">
        <v>2050</v>
      </c>
      <c r="R139" s="2">
        <v>0</v>
      </c>
      <c r="S139" s="2"/>
      <c r="T139" s="7"/>
    </row>
    <row r="140" spans="1:20">
      <c r="A140" s="51" t="s">
        <v>148</v>
      </c>
      <c r="B140" s="1" t="s">
        <v>220</v>
      </c>
      <c r="C140" s="2">
        <v>282</v>
      </c>
      <c r="D140" s="2">
        <v>282</v>
      </c>
      <c r="E140" s="2">
        <v>0</v>
      </c>
      <c r="F140" s="5">
        <f t="shared" si="39"/>
        <v>1</v>
      </c>
      <c r="G140" s="4">
        <v>282</v>
      </c>
      <c r="H140" s="2">
        <v>282</v>
      </c>
      <c r="I140" s="2">
        <v>282</v>
      </c>
      <c r="J140" s="3">
        <f t="shared" si="40"/>
        <v>1</v>
      </c>
      <c r="K140" s="4">
        <v>282</v>
      </c>
      <c r="L140" s="2">
        <v>282</v>
      </c>
      <c r="M140" s="2">
        <v>282</v>
      </c>
      <c r="N140" s="5">
        <f t="shared" si="41"/>
        <v>1</v>
      </c>
      <c r="O140" s="5"/>
      <c r="P140" s="5"/>
      <c r="Q140" s="2">
        <v>282</v>
      </c>
      <c r="R140" s="2">
        <v>0</v>
      </c>
      <c r="S140" s="2"/>
      <c r="T140" s="7"/>
    </row>
    <row r="141" spans="1:20">
      <c r="A141" s="51" t="s">
        <v>148</v>
      </c>
      <c r="B141" s="1" t="s">
        <v>221</v>
      </c>
      <c r="C141" s="2">
        <v>191</v>
      </c>
      <c r="D141" s="2">
        <v>191</v>
      </c>
      <c r="E141" s="2">
        <v>0</v>
      </c>
      <c r="F141" s="5">
        <f t="shared" si="39"/>
        <v>1</v>
      </c>
      <c r="G141" s="4">
        <v>191</v>
      </c>
      <c r="H141" s="2">
        <v>191</v>
      </c>
      <c r="I141" s="2">
        <v>191</v>
      </c>
      <c r="J141" s="3">
        <f t="shared" si="40"/>
        <v>1</v>
      </c>
      <c r="K141" s="4">
        <v>191</v>
      </c>
      <c r="L141" s="2">
        <v>191</v>
      </c>
      <c r="M141" s="2">
        <v>191</v>
      </c>
      <c r="N141" s="5">
        <f t="shared" si="41"/>
        <v>1</v>
      </c>
      <c r="O141" s="5"/>
      <c r="P141" s="5"/>
      <c r="Q141" s="2">
        <v>191</v>
      </c>
      <c r="R141" s="2">
        <v>0</v>
      </c>
      <c r="S141" s="2"/>
      <c r="T141" s="7"/>
    </row>
    <row r="142" spans="1:20">
      <c r="A142" s="51" t="s">
        <v>148</v>
      </c>
      <c r="B142" s="1" t="s">
        <v>222</v>
      </c>
      <c r="C142" s="2">
        <v>211</v>
      </c>
      <c r="D142" s="2">
        <v>211</v>
      </c>
      <c r="E142" s="2">
        <v>0</v>
      </c>
      <c r="F142" s="5">
        <f t="shared" si="39"/>
        <v>1</v>
      </c>
      <c r="G142" s="4">
        <v>211</v>
      </c>
      <c r="H142" s="2">
        <v>211</v>
      </c>
      <c r="I142" s="2">
        <v>211</v>
      </c>
      <c r="J142" s="3">
        <f t="shared" si="40"/>
        <v>1</v>
      </c>
      <c r="K142" s="4">
        <v>211</v>
      </c>
      <c r="L142" s="2">
        <v>211</v>
      </c>
      <c r="M142" s="2">
        <v>211</v>
      </c>
      <c r="N142" s="5">
        <f t="shared" si="41"/>
        <v>1</v>
      </c>
      <c r="O142" s="5"/>
      <c r="P142" s="5"/>
      <c r="Q142" s="2">
        <v>211</v>
      </c>
      <c r="R142" s="2">
        <v>0</v>
      </c>
      <c r="S142" s="2"/>
      <c r="T142" s="7"/>
    </row>
    <row r="143" spans="1:20">
      <c r="A143" s="50" t="s">
        <v>149</v>
      </c>
      <c r="B143" s="1" t="s">
        <v>149</v>
      </c>
      <c r="C143" s="2">
        <v>496</v>
      </c>
      <c r="D143" s="2">
        <v>496</v>
      </c>
      <c r="E143" s="2">
        <v>0</v>
      </c>
      <c r="F143" s="5">
        <f t="shared" ref="F143" si="42">SUM(D143+E143)/C143</f>
        <v>1</v>
      </c>
      <c r="G143" s="4">
        <v>413</v>
      </c>
      <c r="H143" s="2">
        <v>8927</v>
      </c>
      <c r="I143" s="2">
        <v>8927</v>
      </c>
      <c r="J143" s="3">
        <f t="shared" ref="J143" si="43">SUM(H143/I143)</f>
        <v>1</v>
      </c>
      <c r="K143" s="4">
        <v>349</v>
      </c>
      <c r="L143" s="2">
        <v>6996</v>
      </c>
      <c r="M143" s="2">
        <v>6996</v>
      </c>
      <c r="N143" s="5">
        <f t="shared" ref="N143" si="44">SUM(L143/M143)</f>
        <v>1</v>
      </c>
      <c r="O143" s="5" t="s">
        <v>72</v>
      </c>
      <c r="P143" s="5"/>
      <c r="Q143" s="2"/>
      <c r="R143" s="2"/>
      <c r="S143" s="2"/>
      <c r="T143" s="7"/>
    </row>
    <row r="144" spans="1:20">
      <c r="A144" s="50" t="s">
        <v>150</v>
      </c>
      <c r="B144" s="1" t="s">
        <v>223</v>
      </c>
      <c r="C144" s="2">
        <v>291</v>
      </c>
      <c r="D144" s="2">
        <v>157</v>
      </c>
      <c r="E144" s="2">
        <v>37</v>
      </c>
      <c r="F144" s="5">
        <f t="shared" ref="F144" si="45">SUM(D144+E144)/C144</f>
        <v>0.66666666666666663</v>
      </c>
      <c r="G144" s="4">
        <v>57.8</v>
      </c>
      <c r="H144" s="2">
        <v>1214</v>
      </c>
      <c r="I144" s="2">
        <v>1953</v>
      </c>
      <c r="J144" s="3">
        <f t="shared" ref="J144" si="46">SUM(H144/I144)</f>
        <v>0.62160778289810548</v>
      </c>
      <c r="K144" s="4">
        <v>15.9</v>
      </c>
      <c r="L144" s="2">
        <v>335</v>
      </c>
      <c r="M144" s="2">
        <v>528</v>
      </c>
      <c r="N144" s="5">
        <f t="shared" ref="N144" si="47">SUM(L144/M144)</f>
        <v>0.63446969696969702</v>
      </c>
      <c r="O144" s="5"/>
      <c r="P144" s="5"/>
      <c r="Q144" s="2" t="s">
        <v>36</v>
      </c>
      <c r="R144" s="2" t="s">
        <v>36</v>
      </c>
      <c r="S144" s="2" t="s">
        <v>36</v>
      </c>
      <c r="T144" s="7" t="s">
        <v>36</v>
      </c>
    </row>
    <row r="145" spans="1:20">
      <c r="A145" s="51" t="s">
        <v>151</v>
      </c>
      <c r="B145" s="1" t="s">
        <v>224</v>
      </c>
      <c r="C145" s="2">
        <v>465</v>
      </c>
      <c r="D145" s="2">
        <v>419</v>
      </c>
      <c r="E145" s="2">
        <v>0</v>
      </c>
      <c r="F145" s="5">
        <f t="shared" ref="F145:F146" si="48">SUM(D145+E145)/C145</f>
        <v>0.90107526881720434</v>
      </c>
      <c r="G145" s="4">
        <f>12895/20</f>
        <v>644.75</v>
      </c>
      <c r="H145" s="2">
        <v>11620</v>
      </c>
      <c r="I145" s="2">
        <v>12895</v>
      </c>
      <c r="J145" s="3">
        <f>SUM(H145/I145)</f>
        <v>0.90112446684761538</v>
      </c>
      <c r="K145" s="4">
        <f>12053/20</f>
        <v>602.65</v>
      </c>
      <c r="L145" s="2">
        <v>10861</v>
      </c>
      <c r="M145" s="2">
        <v>12053</v>
      </c>
      <c r="N145" s="3">
        <f>SUM(L145/M145)</f>
        <v>0.90110345971957184</v>
      </c>
      <c r="O145" s="5" t="s">
        <v>36</v>
      </c>
      <c r="P145" s="5" t="s">
        <v>36</v>
      </c>
      <c r="Q145" s="2" t="s">
        <v>36</v>
      </c>
      <c r="R145" s="2" t="s">
        <v>36</v>
      </c>
      <c r="S145" s="2" t="s">
        <v>36</v>
      </c>
      <c r="T145" s="6" t="s">
        <v>72</v>
      </c>
    </row>
    <row r="146" spans="1:20">
      <c r="A146" s="51" t="s">
        <v>151</v>
      </c>
      <c r="B146" s="1" t="s">
        <v>225</v>
      </c>
      <c r="C146" s="2">
        <v>292</v>
      </c>
      <c r="D146" s="2">
        <v>263</v>
      </c>
      <c r="E146" s="2">
        <v>0</v>
      </c>
      <c r="F146" s="5">
        <f t="shared" si="48"/>
        <v>0.90068493150684936</v>
      </c>
      <c r="G146" s="4"/>
      <c r="H146" s="2"/>
      <c r="I146" s="2"/>
      <c r="J146" s="3">
        <v>0</v>
      </c>
      <c r="K146" s="4"/>
      <c r="L146" s="2"/>
      <c r="M146" s="2"/>
      <c r="N146" s="5">
        <v>0</v>
      </c>
      <c r="O146" s="5"/>
      <c r="P146" s="5"/>
      <c r="Q146" s="2"/>
      <c r="R146" s="2"/>
      <c r="S146" s="2"/>
      <c r="T146" s="7"/>
    </row>
    <row r="147" spans="1:20">
      <c r="A147" s="50" t="s">
        <v>152</v>
      </c>
      <c r="B147" s="1" t="s">
        <v>226</v>
      </c>
      <c r="C147" s="28">
        <v>291</v>
      </c>
      <c r="D147" s="28">
        <v>97</v>
      </c>
      <c r="E147" s="28">
        <v>16</v>
      </c>
      <c r="F147" s="5">
        <f t="shared" ref="F147" si="49">SUM(D147+E147)/C147</f>
        <v>0.38831615120274915</v>
      </c>
      <c r="G147" s="28">
        <v>164.6</v>
      </c>
      <c r="H147" s="28">
        <v>1476</v>
      </c>
      <c r="I147" s="28">
        <v>3292</v>
      </c>
      <c r="J147" s="3">
        <f t="shared" ref="J147" si="50">SUM(H147/I147)</f>
        <v>0.44835965978128794</v>
      </c>
      <c r="K147" s="28">
        <v>52.95</v>
      </c>
      <c r="L147" s="28">
        <v>655</v>
      </c>
      <c r="M147" s="28">
        <v>1059</v>
      </c>
      <c r="N147" s="5">
        <f t="shared" ref="N147" si="51">SUM(L147/M147)</f>
        <v>0.61850802644003777</v>
      </c>
      <c r="O147" s="5" t="s">
        <v>36</v>
      </c>
      <c r="P147" s="5" t="s">
        <v>36</v>
      </c>
      <c r="Q147" s="5" t="s">
        <v>36</v>
      </c>
      <c r="R147" s="5" t="s">
        <v>36</v>
      </c>
      <c r="S147" s="5" t="s">
        <v>36</v>
      </c>
      <c r="T147" s="5" t="s">
        <v>36</v>
      </c>
    </row>
    <row r="148" spans="1:20">
      <c r="A148" s="50" t="s">
        <v>153</v>
      </c>
      <c r="B148" s="1" t="s">
        <v>227</v>
      </c>
      <c r="C148" s="2">
        <v>428</v>
      </c>
      <c r="D148" s="2">
        <v>66</v>
      </c>
      <c r="E148" s="2">
        <v>8</v>
      </c>
      <c r="F148" s="5">
        <f t="shared" ref="F148" si="52">SUM(D148+E148)/C148</f>
        <v>0.17289719626168223</v>
      </c>
      <c r="G148" s="4">
        <v>79</v>
      </c>
      <c r="H148" s="2">
        <v>752</v>
      </c>
      <c r="I148" s="2">
        <v>1492</v>
      </c>
      <c r="J148" s="3">
        <f t="shared" ref="J148" si="53">SUM(H148/I148)</f>
        <v>0.50402144772117963</v>
      </c>
      <c r="K148" s="4">
        <v>19</v>
      </c>
      <c r="L148" s="2">
        <v>596</v>
      </c>
      <c r="M148" s="2">
        <v>837</v>
      </c>
      <c r="N148" s="5">
        <f t="shared" ref="N148" si="54">SUM(L148/M148)</f>
        <v>0.71206690561529273</v>
      </c>
      <c r="O148" s="5" t="s">
        <v>73</v>
      </c>
      <c r="P148" s="5"/>
      <c r="Q148" s="2"/>
      <c r="R148" s="2"/>
      <c r="S148" s="2"/>
      <c r="T148" s="7"/>
    </row>
    <row r="149" spans="1:20">
      <c r="A149" s="50" t="s">
        <v>154</v>
      </c>
      <c r="B149" s="1" t="s">
        <v>228</v>
      </c>
      <c r="C149" s="2">
        <v>320</v>
      </c>
      <c r="D149" s="2">
        <v>237</v>
      </c>
      <c r="E149" s="2">
        <v>0</v>
      </c>
      <c r="F149" s="5">
        <f t="shared" ref="F149" si="55">SUM(D149+E149)/C149</f>
        <v>0.74062499999999998</v>
      </c>
      <c r="G149" s="4">
        <v>205</v>
      </c>
      <c r="H149" s="2">
        <v>2887</v>
      </c>
      <c r="I149" s="2">
        <v>3902</v>
      </c>
      <c r="J149" s="3">
        <f>SUM(H149/I149)</f>
        <v>0.73987698616094311</v>
      </c>
      <c r="K149" s="4">
        <v>20</v>
      </c>
      <c r="L149" s="2">
        <v>286</v>
      </c>
      <c r="M149" s="2">
        <v>387</v>
      </c>
      <c r="N149" s="5">
        <f>SUM(L149/M149)</f>
        <v>0.73901808785529721</v>
      </c>
      <c r="O149" s="5"/>
      <c r="P149" s="5"/>
      <c r="Q149" s="2" t="s">
        <v>36</v>
      </c>
      <c r="R149" s="2" t="s">
        <v>36</v>
      </c>
      <c r="S149" s="2" t="s">
        <v>36</v>
      </c>
      <c r="T149" s="6" t="s">
        <v>72</v>
      </c>
    </row>
    <row r="150" spans="1:20">
      <c r="A150" s="50" t="s">
        <v>155</v>
      </c>
      <c r="B150" s="1" t="s">
        <v>155</v>
      </c>
      <c r="C150" s="2">
        <v>236</v>
      </c>
      <c r="D150" s="2">
        <v>123</v>
      </c>
      <c r="E150" s="2">
        <v>14</v>
      </c>
      <c r="F150" s="5">
        <f t="shared" ref="F150" si="56">SUM(D150+E150)/C150</f>
        <v>0.58050847457627119</v>
      </c>
      <c r="G150" s="4">
        <v>122</v>
      </c>
      <c r="H150" s="2">
        <v>1718</v>
      </c>
      <c r="I150" s="2">
        <v>2323</v>
      </c>
      <c r="J150" s="3">
        <f t="shared" ref="J150" si="57">SUM(H150/I150)</f>
        <v>0.73956091261300039</v>
      </c>
      <c r="K150" s="4">
        <v>112</v>
      </c>
      <c r="L150" s="2">
        <v>1978</v>
      </c>
      <c r="M150" s="2">
        <v>2137</v>
      </c>
      <c r="N150" s="5">
        <f t="shared" ref="N150" si="58">SUM(L150/M150)</f>
        <v>0.92559663079082821</v>
      </c>
      <c r="O150" s="5" t="s">
        <v>72</v>
      </c>
      <c r="P150" s="5" t="s">
        <v>36</v>
      </c>
      <c r="Q150" s="2" t="s">
        <v>36</v>
      </c>
      <c r="R150" s="2" t="s">
        <v>36</v>
      </c>
      <c r="S150" s="2" t="s">
        <v>36</v>
      </c>
      <c r="T150" s="7" t="s">
        <v>36</v>
      </c>
    </row>
    <row r="151" spans="1:20">
      <c r="A151" s="50" t="s">
        <v>156</v>
      </c>
      <c r="B151" s="15" t="s">
        <v>229</v>
      </c>
      <c r="C151" s="16">
        <v>99</v>
      </c>
      <c r="D151" s="16">
        <v>89</v>
      </c>
      <c r="E151" s="16">
        <v>1</v>
      </c>
      <c r="F151" s="19">
        <f t="shared" ref="F151" si="59">SUM(D151+E151)/C151</f>
        <v>0.90909090909090906</v>
      </c>
      <c r="G151" s="18">
        <v>88</v>
      </c>
      <c r="H151" s="16">
        <v>1682</v>
      </c>
      <c r="I151" s="16">
        <v>1849</v>
      </c>
      <c r="J151" s="17">
        <f t="shared" ref="J151" si="60">SUM(H151/I151)</f>
        <v>0.90968090859924289</v>
      </c>
      <c r="K151" s="18">
        <v>91</v>
      </c>
      <c r="L151" s="16">
        <v>1733</v>
      </c>
      <c r="M151" s="16">
        <v>1903</v>
      </c>
      <c r="N151" s="19">
        <f t="shared" ref="N151" si="61">SUM(L151/M151)</f>
        <v>0.91066736731476616</v>
      </c>
      <c r="O151" s="19" t="s">
        <v>36</v>
      </c>
      <c r="P151" s="19" t="s">
        <v>72</v>
      </c>
      <c r="Q151" s="16" t="s">
        <v>36</v>
      </c>
      <c r="R151" s="16" t="s">
        <v>72</v>
      </c>
      <c r="S151" s="16" t="s">
        <v>36</v>
      </c>
      <c r="T151" s="20" t="s">
        <v>36</v>
      </c>
    </row>
    <row r="152" spans="1:20">
      <c r="A152" s="51" t="s">
        <v>157</v>
      </c>
      <c r="B152" s="1" t="s">
        <v>230</v>
      </c>
      <c r="C152" s="2">
        <v>58</v>
      </c>
      <c r="D152" s="2">
        <v>58</v>
      </c>
      <c r="E152" s="2">
        <v>0</v>
      </c>
      <c r="F152" s="5">
        <f t="shared" ref="F152:F168" si="62">SUM(D152+E152)/C152</f>
        <v>1</v>
      </c>
      <c r="G152" s="4">
        <v>15</v>
      </c>
      <c r="H152" s="2">
        <v>291</v>
      </c>
      <c r="I152" s="2">
        <v>291</v>
      </c>
      <c r="J152" s="3">
        <f>SUM(H152/I152)</f>
        <v>1</v>
      </c>
      <c r="K152" s="4">
        <v>14</v>
      </c>
      <c r="L152" s="2">
        <v>284</v>
      </c>
      <c r="M152" s="2">
        <v>284</v>
      </c>
      <c r="N152" s="5">
        <f>SUM(L152/M152)</f>
        <v>1</v>
      </c>
      <c r="O152" s="5" t="s">
        <v>72</v>
      </c>
      <c r="P152" s="5"/>
      <c r="Q152" s="2" t="s">
        <v>36</v>
      </c>
      <c r="R152" s="2" t="s">
        <v>36</v>
      </c>
      <c r="S152" s="2" t="s">
        <v>36</v>
      </c>
      <c r="T152" s="6" t="s">
        <v>36</v>
      </c>
    </row>
    <row r="153" spans="1:20">
      <c r="A153" s="51" t="s">
        <v>157</v>
      </c>
      <c r="B153" s="1" t="s">
        <v>231</v>
      </c>
      <c r="C153" s="2">
        <v>82</v>
      </c>
      <c r="D153" s="2">
        <v>62</v>
      </c>
      <c r="E153" s="2">
        <v>2</v>
      </c>
      <c r="F153" s="5">
        <f t="shared" si="62"/>
        <v>0.78048780487804881</v>
      </c>
      <c r="G153" s="4">
        <v>74</v>
      </c>
      <c r="H153" s="2">
        <v>1148</v>
      </c>
      <c r="I153" s="2">
        <v>1477</v>
      </c>
      <c r="J153" s="3">
        <f t="shared" ref="J153:J168" si="63">SUM(H153/I153)</f>
        <v>0.77725118483412325</v>
      </c>
      <c r="K153" s="4">
        <v>40</v>
      </c>
      <c r="L153" s="2">
        <v>689</v>
      </c>
      <c r="M153" s="2">
        <v>799</v>
      </c>
      <c r="N153" s="5">
        <f t="shared" ref="N153:N168" si="64">SUM(L153/M153)</f>
        <v>0.86232790988735919</v>
      </c>
      <c r="O153" s="5"/>
      <c r="P153" s="5"/>
      <c r="Q153" s="2"/>
      <c r="R153" s="2"/>
      <c r="S153" s="2"/>
      <c r="T153" s="7"/>
    </row>
    <row r="154" spans="1:20">
      <c r="A154" s="51" t="s">
        <v>157</v>
      </c>
      <c r="B154" s="1" t="s">
        <v>232</v>
      </c>
      <c r="C154" s="2">
        <v>819</v>
      </c>
      <c r="D154" s="2">
        <v>527</v>
      </c>
      <c r="E154" s="2">
        <v>66</v>
      </c>
      <c r="F154" s="5">
        <f t="shared" si="62"/>
        <v>0.72405372405372403</v>
      </c>
      <c r="G154" s="4">
        <v>570</v>
      </c>
      <c r="H154" s="2">
        <v>9182</v>
      </c>
      <c r="I154" s="2">
        <v>11393</v>
      </c>
      <c r="J154" s="3">
        <f t="shared" si="63"/>
        <v>0.80593346791889753</v>
      </c>
      <c r="K154" s="4">
        <v>245</v>
      </c>
      <c r="L154" s="2">
        <v>4259</v>
      </c>
      <c r="M154" s="2">
        <v>4908</v>
      </c>
      <c r="N154" s="5">
        <f t="shared" si="64"/>
        <v>0.86776691116544413</v>
      </c>
      <c r="O154" s="5"/>
      <c r="P154" s="5"/>
      <c r="Q154" s="2"/>
      <c r="R154" s="2"/>
      <c r="S154" s="2"/>
      <c r="T154" s="7"/>
    </row>
    <row r="155" spans="1:20">
      <c r="A155" s="51" t="s">
        <v>157</v>
      </c>
      <c r="B155" s="1" t="s">
        <v>233</v>
      </c>
      <c r="C155" s="2">
        <v>873</v>
      </c>
      <c r="D155" s="2">
        <v>695</v>
      </c>
      <c r="E155" s="2">
        <v>39</v>
      </c>
      <c r="F155" s="5">
        <f t="shared" si="62"/>
        <v>0.84077892325315007</v>
      </c>
      <c r="G155" s="4">
        <v>744</v>
      </c>
      <c r="H155" s="2">
        <v>13138</v>
      </c>
      <c r="I155" s="2">
        <v>14877</v>
      </c>
      <c r="J155" s="3">
        <f t="shared" si="63"/>
        <v>0.88310815352557637</v>
      </c>
      <c r="K155" s="4">
        <v>445</v>
      </c>
      <c r="L155" s="2">
        <v>8048</v>
      </c>
      <c r="M155" s="2">
        <v>8895</v>
      </c>
      <c r="N155" s="5">
        <f t="shared" si="64"/>
        <v>0.90477796514896014</v>
      </c>
      <c r="O155" s="5" t="s">
        <v>72</v>
      </c>
      <c r="P155" s="5"/>
      <c r="Q155" s="2"/>
      <c r="R155" s="2"/>
      <c r="S155" s="2"/>
      <c r="T155" s="7"/>
    </row>
    <row r="156" spans="1:20">
      <c r="A156" s="51" t="s">
        <v>157</v>
      </c>
      <c r="B156" s="1" t="s">
        <v>234</v>
      </c>
      <c r="C156" s="2">
        <v>634</v>
      </c>
      <c r="D156" s="2">
        <v>454</v>
      </c>
      <c r="E156" s="2">
        <v>32</v>
      </c>
      <c r="F156" s="5">
        <f t="shared" si="62"/>
        <v>0.7665615141955836</v>
      </c>
      <c r="G156" s="4">
        <v>486</v>
      </c>
      <c r="H156" s="2">
        <v>8018</v>
      </c>
      <c r="I156" s="2">
        <v>9725</v>
      </c>
      <c r="J156" s="3">
        <f t="shared" si="63"/>
        <v>0.82447300771208232</v>
      </c>
      <c r="K156" s="4">
        <v>238</v>
      </c>
      <c r="L156" s="2">
        <v>3950</v>
      </c>
      <c r="M156" s="2">
        <v>4766</v>
      </c>
      <c r="N156" s="5">
        <f t="shared" si="64"/>
        <v>0.82878724297104489</v>
      </c>
      <c r="O156" s="5"/>
      <c r="P156" s="5"/>
      <c r="Q156" s="2"/>
      <c r="R156" s="2"/>
      <c r="S156" s="2"/>
      <c r="T156" s="7"/>
    </row>
    <row r="157" spans="1:20">
      <c r="A157" s="51" t="s">
        <v>157</v>
      </c>
      <c r="B157" s="1" t="s">
        <v>235</v>
      </c>
      <c r="C157" s="2">
        <v>657</v>
      </c>
      <c r="D157" s="2">
        <v>228</v>
      </c>
      <c r="E157" s="2">
        <v>21</v>
      </c>
      <c r="F157" s="5">
        <f t="shared" si="62"/>
        <v>0.37899543378995432</v>
      </c>
      <c r="G157" s="4">
        <v>324</v>
      </c>
      <c r="H157" s="2">
        <v>3349</v>
      </c>
      <c r="I157" s="2">
        <v>6478</v>
      </c>
      <c r="J157" s="3">
        <f t="shared" si="63"/>
        <v>0.51698054955233097</v>
      </c>
      <c r="K157" s="4">
        <v>120</v>
      </c>
      <c r="L157" s="2">
        <v>1447</v>
      </c>
      <c r="M157" s="2">
        <v>2397</v>
      </c>
      <c r="N157" s="5">
        <f t="shared" si="64"/>
        <v>0.60367125573633706</v>
      </c>
      <c r="O157" s="5"/>
      <c r="P157" s="5"/>
      <c r="Q157" s="2"/>
      <c r="R157" s="2"/>
      <c r="S157" s="2"/>
      <c r="T157" s="7"/>
    </row>
    <row r="158" spans="1:20">
      <c r="A158" s="51" t="s">
        <v>157</v>
      </c>
      <c r="B158" s="1" t="s">
        <v>236</v>
      </c>
      <c r="C158" s="2">
        <v>851</v>
      </c>
      <c r="D158" s="2">
        <v>437</v>
      </c>
      <c r="E158" s="2">
        <v>50</v>
      </c>
      <c r="F158" s="5">
        <f t="shared" si="62"/>
        <v>0.57226792009400707</v>
      </c>
      <c r="G158" s="4">
        <v>550</v>
      </c>
      <c r="H158" s="2">
        <v>7472</v>
      </c>
      <c r="I158" s="2">
        <v>11006</v>
      </c>
      <c r="J158" s="3">
        <f t="shared" si="63"/>
        <v>0.67890241686352903</v>
      </c>
      <c r="K158" s="4">
        <v>318</v>
      </c>
      <c r="L158" s="2">
        <v>4877</v>
      </c>
      <c r="M158" s="2">
        <v>6369</v>
      </c>
      <c r="N158" s="5">
        <f t="shared" si="64"/>
        <v>0.76574030460040821</v>
      </c>
      <c r="O158" s="5"/>
      <c r="P158" s="5"/>
      <c r="Q158" s="2"/>
      <c r="R158" s="2"/>
      <c r="S158" s="2"/>
      <c r="T158" s="7"/>
    </row>
    <row r="159" spans="1:20">
      <c r="A159" s="51" t="s">
        <v>157</v>
      </c>
      <c r="B159" s="1" t="s">
        <v>237</v>
      </c>
      <c r="C159" s="2">
        <v>407</v>
      </c>
      <c r="D159" s="2">
        <v>263</v>
      </c>
      <c r="E159" s="2">
        <v>24</v>
      </c>
      <c r="F159" s="5">
        <f t="shared" si="62"/>
        <v>0.70515970515970516</v>
      </c>
      <c r="G159" s="4">
        <v>287</v>
      </c>
      <c r="H159" s="2">
        <v>4326</v>
      </c>
      <c r="I159" s="2">
        <v>5736</v>
      </c>
      <c r="J159" s="3">
        <f t="shared" si="63"/>
        <v>0.75418410041841</v>
      </c>
      <c r="K159" s="4">
        <v>129</v>
      </c>
      <c r="L159" s="2">
        <v>2211</v>
      </c>
      <c r="M159" s="2">
        <v>2586</v>
      </c>
      <c r="N159" s="5">
        <f t="shared" si="64"/>
        <v>0.85498839907192581</v>
      </c>
      <c r="O159" s="5"/>
      <c r="P159" s="5"/>
      <c r="Q159" s="2"/>
      <c r="R159" s="2"/>
      <c r="S159" s="2"/>
      <c r="T159" s="7"/>
    </row>
    <row r="160" spans="1:20">
      <c r="A160" s="51" t="s">
        <v>157</v>
      </c>
      <c r="B160" s="1" t="s">
        <v>238</v>
      </c>
      <c r="C160" s="2">
        <v>696</v>
      </c>
      <c r="D160" s="2">
        <v>383</v>
      </c>
      <c r="E160" s="2">
        <v>36</v>
      </c>
      <c r="F160" s="5">
        <f t="shared" si="62"/>
        <v>0.60201149425287359</v>
      </c>
      <c r="G160" s="4">
        <v>526</v>
      </c>
      <c r="H160" s="2">
        <v>7020</v>
      </c>
      <c r="I160" s="2">
        <v>10524</v>
      </c>
      <c r="J160" s="3">
        <f t="shared" si="63"/>
        <v>0.66704675028506266</v>
      </c>
      <c r="K160" s="4">
        <v>166</v>
      </c>
      <c r="L160" s="2">
        <v>2648</v>
      </c>
      <c r="M160" s="2">
        <v>3316</v>
      </c>
      <c r="N160" s="5">
        <f t="shared" si="64"/>
        <v>0.7985524728588661</v>
      </c>
      <c r="O160" s="5"/>
      <c r="P160" s="5" t="s">
        <v>72</v>
      </c>
      <c r="Q160" s="2"/>
      <c r="R160" s="2"/>
      <c r="S160" s="2"/>
      <c r="T160" s="7"/>
    </row>
    <row r="161" spans="1:20">
      <c r="A161" s="51" t="s">
        <v>157</v>
      </c>
      <c r="B161" s="1" t="s">
        <v>239</v>
      </c>
      <c r="C161" s="2">
        <v>697</v>
      </c>
      <c r="D161" s="2">
        <v>351</v>
      </c>
      <c r="E161" s="2">
        <v>40</v>
      </c>
      <c r="F161" s="5">
        <f t="shared" si="62"/>
        <v>0.56097560975609762</v>
      </c>
      <c r="G161" s="4">
        <v>482</v>
      </c>
      <c r="H161" s="2">
        <v>6443</v>
      </c>
      <c r="I161" s="2">
        <v>9649</v>
      </c>
      <c r="J161" s="3">
        <f t="shared" si="63"/>
        <v>0.66773758938750127</v>
      </c>
      <c r="K161" s="4">
        <v>115</v>
      </c>
      <c r="L161" s="2">
        <v>1829</v>
      </c>
      <c r="M161" s="2">
        <v>2302</v>
      </c>
      <c r="N161" s="5">
        <f t="shared" si="64"/>
        <v>0.79452649869678538</v>
      </c>
      <c r="O161" s="5"/>
      <c r="P161" s="5"/>
      <c r="Q161" s="2"/>
      <c r="R161" s="2"/>
      <c r="S161" s="2"/>
      <c r="T161" s="7"/>
    </row>
    <row r="162" spans="1:20">
      <c r="A162" s="51" t="s">
        <v>157</v>
      </c>
      <c r="B162" s="1" t="s">
        <v>240</v>
      </c>
      <c r="C162" s="2">
        <v>947</v>
      </c>
      <c r="D162" s="2">
        <v>372</v>
      </c>
      <c r="E162" s="2">
        <v>53</v>
      </c>
      <c r="F162" s="5">
        <f t="shared" si="62"/>
        <v>0.44878563885955647</v>
      </c>
      <c r="G162" s="4">
        <v>663</v>
      </c>
      <c r="H162" s="2">
        <v>6833</v>
      </c>
      <c r="I162" s="2">
        <v>13267</v>
      </c>
      <c r="J162" s="3">
        <f t="shared" si="63"/>
        <v>0.5150373106203362</v>
      </c>
      <c r="K162" s="4">
        <v>140</v>
      </c>
      <c r="L162" s="2">
        <v>2111</v>
      </c>
      <c r="M162" s="2">
        <v>2801</v>
      </c>
      <c r="N162" s="5">
        <f t="shared" si="64"/>
        <v>0.7536594073545162</v>
      </c>
      <c r="O162" s="5"/>
      <c r="P162" s="5"/>
      <c r="Q162" s="2"/>
      <c r="R162" s="2"/>
      <c r="S162" s="2"/>
      <c r="T162" s="7"/>
    </row>
    <row r="163" spans="1:20">
      <c r="A163" s="51" t="s">
        <v>157</v>
      </c>
      <c r="B163" s="1" t="s">
        <v>241</v>
      </c>
      <c r="C163" s="2">
        <v>1620</v>
      </c>
      <c r="D163" s="2">
        <v>920</v>
      </c>
      <c r="E163" s="2">
        <v>97</v>
      </c>
      <c r="F163" s="5">
        <f t="shared" si="62"/>
        <v>0.62777777777777777</v>
      </c>
      <c r="G163" s="4">
        <v>1127</v>
      </c>
      <c r="H163" s="2">
        <v>15272</v>
      </c>
      <c r="I163" s="2">
        <v>22545</v>
      </c>
      <c r="J163" s="3">
        <f t="shared" si="63"/>
        <v>0.67740075404746058</v>
      </c>
      <c r="K163" s="4">
        <v>293</v>
      </c>
      <c r="L163" s="2">
        <v>4746</v>
      </c>
      <c r="M163" s="2">
        <v>5861</v>
      </c>
      <c r="N163" s="5">
        <f t="shared" si="64"/>
        <v>0.80975942671898993</v>
      </c>
      <c r="O163" s="5"/>
      <c r="P163" s="5"/>
      <c r="Q163" s="2"/>
      <c r="R163" s="2"/>
      <c r="S163" s="2"/>
      <c r="T163" s="7"/>
    </row>
    <row r="164" spans="1:20">
      <c r="A164" s="51" t="s">
        <v>157</v>
      </c>
      <c r="B164" s="1" t="s">
        <v>242</v>
      </c>
      <c r="C164" s="2">
        <v>459</v>
      </c>
      <c r="D164" s="2">
        <v>98</v>
      </c>
      <c r="E164" s="2">
        <v>20</v>
      </c>
      <c r="F164" s="5">
        <f t="shared" si="62"/>
        <v>0.2570806100217865</v>
      </c>
      <c r="G164" s="4">
        <v>254</v>
      </c>
      <c r="H164" s="2">
        <v>2367</v>
      </c>
      <c r="I164" s="2">
        <v>5074</v>
      </c>
      <c r="J164" s="3">
        <f t="shared" si="63"/>
        <v>0.46649586125344894</v>
      </c>
      <c r="K164" s="4">
        <v>93</v>
      </c>
      <c r="L164" s="2">
        <v>1099</v>
      </c>
      <c r="M164" s="2">
        <v>1854</v>
      </c>
      <c r="N164" s="5">
        <f t="shared" si="64"/>
        <v>0.59277238403451993</v>
      </c>
      <c r="O164" s="5"/>
      <c r="P164" s="5"/>
      <c r="Q164" s="2"/>
      <c r="R164" s="2"/>
      <c r="S164" s="2"/>
      <c r="T164" s="7"/>
    </row>
    <row r="165" spans="1:20">
      <c r="A165" s="51" t="s">
        <v>157</v>
      </c>
      <c r="B165" s="1" t="s">
        <v>243</v>
      </c>
      <c r="C165" s="2">
        <v>164</v>
      </c>
      <c r="D165" s="2">
        <v>86</v>
      </c>
      <c r="E165" s="2">
        <v>11</v>
      </c>
      <c r="F165" s="5">
        <f t="shared" si="62"/>
        <v>0.59146341463414631</v>
      </c>
      <c r="G165" s="4">
        <v>101</v>
      </c>
      <c r="H165" s="2">
        <v>1322</v>
      </c>
      <c r="I165" s="2">
        <v>2012</v>
      </c>
      <c r="J165" s="3">
        <f t="shared" si="63"/>
        <v>0.65705765407554673</v>
      </c>
      <c r="K165" s="4">
        <v>106</v>
      </c>
      <c r="L165" s="2">
        <v>1309</v>
      </c>
      <c r="M165" s="2">
        <v>2123</v>
      </c>
      <c r="N165" s="5">
        <f t="shared" si="64"/>
        <v>0.61658031088082899</v>
      </c>
      <c r="O165" s="5"/>
      <c r="P165" s="5"/>
      <c r="Q165" s="2"/>
      <c r="R165" s="2"/>
      <c r="S165" s="2"/>
      <c r="T165" s="7"/>
    </row>
    <row r="166" spans="1:20">
      <c r="A166" s="51" t="s">
        <v>157</v>
      </c>
      <c r="B166" s="1" t="s">
        <v>244</v>
      </c>
      <c r="C166" s="2">
        <v>690</v>
      </c>
      <c r="D166" s="2">
        <v>475</v>
      </c>
      <c r="E166" s="2">
        <v>34</v>
      </c>
      <c r="F166" s="5">
        <f t="shared" si="62"/>
        <v>0.73768115942028989</v>
      </c>
      <c r="G166" s="4">
        <v>841</v>
      </c>
      <c r="H166" s="2">
        <v>13457</v>
      </c>
      <c r="I166" s="2">
        <v>16814</v>
      </c>
      <c r="J166" s="3">
        <f t="shared" si="63"/>
        <v>0.80034495063637445</v>
      </c>
      <c r="K166" s="4">
        <v>715</v>
      </c>
      <c r="L166" s="2">
        <v>12206</v>
      </c>
      <c r="M166" s="2">
        <v>14294</v>
      </c>
      <c r="N166" s="5">
        <f t="shared" si="64"/>
        <v>0.85392472366027705</v>
      </c>
      <c r="O166" s="5"/>
      <c r="P166" s="5"/>
      <c r="Q166" s="2"/>
      <c r="R166" s="2"/>
      <c r="S166" s="2"/>
      <c r="T166" s="7"/>
    </row>
    <row r="167" spans="1:20">
      <c r="A167" s="51" t="s">
        <v>157</v>
      </c>
      <c r="B167" s="1" t="s">
        <v>245</v>
      </c>
      <c r="C167" s="2">
        <v>291</v>
      </c>
      <c r="D167" s="2">
        <v>218</v>
      </c>
      <c r="E167" s="2">
        <v>11</v>
      </c>
      <c r="F167" s="5">
        <f t="shared" si="62"/>
        <v>0.78694158075601373</v>
      </c>
      <c r="G167" s="4">
        <v>226</v>
      </c>
      <c r="H167" s="2">
        <v>3993</v>
      </c>
      <c r="I167" s="2">
        <v>4528</v>
      </c>
      <c r="J167" s="3">
        <f t="shared" si="63"/>
        <v>0.88184628975265023</v>
      </c>
      <c r="K167" s="4">
        <v>244</v>
      </c>
      <c r="L167" s="2">
        <v>4053</v>
      </c>
      <c r="M167" s="2">
        <v>4872</v>
      </c>
      <c r="N167" s="5">
        <f t="shared" si="64"/>
        <v>0.8318965517241379</v>
      </c>
      <c r="O167" s="5"/>
      <c r="P167" s="5"/>
      <c r="Q167" s="2"/>
      <c r="R167" s="2"/>
      <c r="S167" s="2"/>
      <c r="T167" s="7"/>
    </row>
    <row r="168" spans="1:20">
      <c r="A168" s="51" t="s">
        <v>157</v>
      </c>
      <c r="B168" s="1" t="s">
        <v>246</v>
      </c>
      <c r="C168" s="2">
        <v>776</v>
      </c>
      <c r="D168" s="2">
        <v>561</v>
      </c>
      <c r="E168" s="2">
        <v>33</v>
      </c>
      <c r="F168" s="5">
        <f t="shared" si="62"/>
        <v>0.76546391752577314</v>
      </c>
      <c r="G168" s="4">
        <v>356</v>
      </c>
      <c r="H168" s="2">
        <v>6051</v>
      </c>
      <c r="I168" s="2">
        <v>7114</v>
      </c>
      <c r="J168" s="3">
        <f t="shared" si="63"/>
        <v>0.85057632836660102</v>
      </c>
      <c r="K168" s="4">
        <v>27</v>
      </c>
      <c r="L168" s="2">
        <v>442</v>
      </c>
      <c r="M168" s="2">
        <v>542</v>
      </c>
      <c r="N168" s="5">
        <f t="shared" si="64"/>
        <v>0.81549815498154976</v>
      </c>
      <c r="O168" s="5"/>
      <c r="P168" s="5"/>
      <c r="Q168" s="2"/>
      <c r="R168" s="2"/>
      <c r="S168" s="2"/>
      <c r="T168" s="7"/>
    </row>
    <row r="169" spans="1:20">
      <c r="A169" s="50" t="s">
        <v>158</v>
      </c>
      <c r="B169" s="1" t="s">
        <v>330</v>
      </c>
      <c r="C169" s="2">
        <v>131</v>
      </c>
      <c r="D169" s="2">
        <v>82</v>
      </c>
      <c r="E169" s="2">
        <v>7</v>
      </c>
      <c r="F169" s="5">
        <v>0.6794</v>
      </c>
      <c r="G169" s="4">
        <v>81</v>
      </c>
      <c r="H169" s="2">
        <v>1420</v>
      </c>
      <c r="I169" s="2">
        <v>1698</v>
      </c>
      <c r="J169" s="3">
        <v>0.84</v>
      </c>
      <c r="K169" s="4">
        <v>56</v>
      </c>
      <c r="L169" s="2">
        <v>1010</v>
      </c>
      <c r="M169" s="2">
        <v>1166</v>
      </c>
      <c r="N169" s="5">
        <v>0.86619999999999997</v>
      </c>
      <c r="O169" s="5"/>
      <c r="P169" s="5"/>
      <c r="Q169" s="2"/>
      <c r="R169" s="2"/>
      <c r="S169" s="2"/>
      <c r="T169" s="7"/>
    </row>
    <row r="170" spans="1:20">
      <c r="A170" s="50" t="s">
        <v>159</v>
      </c>
      <c r="B170" s="1" t="s">
        <v>247</v>
      </c>
      <c r="C170" s="2">
        <v>64</v>
      </c>
      <c r="D170" s="5">
        <v>0.74299999999999999</v>
      </c>
      <c r="E170" s="2">
        <v>0</v>
      </c>
      <c r="F170" s="5">
        <f t="shared" ref="F170" si="65">SUM(D170+E170)/C170</f>
        <v>1.1609375E-2</v>
      </c>
      <c r="G170" s="4">
        <v>31.14</v>
      </c>
      <c r="H170" s="2">
        <v>397</v>
      </c>
      <c r="I170" s="2">
        <v>534</v>
      </c>
      <c r="J170" s="3">
        <f>SUM(H170/I170)</f>
        <v>0.74344569288389517</v>
      </c>
      <c r="K170" s="4">
        <v>31</v>
      </c>
      <c r="L170" s="2">
        <v>392</v>
      </c>
      <c r="M170" s="2">
        <v>521</v>
      </c>
      <c r="N170" s="5">
        <f>SUM(L170/M170)</f>
        <v>0.75239923224568139</v>
      </c>
      <c r="O170" s="5" t="s">
        <v>36</v>
      </c>
      <c r="P170" s="5" t="s">
        <v>36</v>
      </c>
      <c r="Q170" s="2" t="s">
        <v>36</v>
      </c>
      <c r="R170" s="2" t="s">
        <v>36</v>
      </c>
      <c r="S170" s="2" t="s">
        <v>36</v>
      </c>
      <c r="T170" s="6" t="s">
        <v>36</v>
      </c>
    </row>
    <row r="171" spans="1:20">
      <c r="A171" s="51" t="s">
        <v>43</v>
      </c>
      <c r="B171" s="1" t="s">
        <v>35</v>
      </c>
      <c r="C171" s="2">
        <v>959</v>
      </c>
      <c r="D171" s="2">
        <v>677.05</v>
      </c>
      <c r="E171" s="2">
        <v>0</v>
      </c>
      <c r="F171" s="5">
        <f t="shared" ref="F171:F176" si="66">SUM(D171+E171)/C171</f>
        <v>0.70599582898852964</v>
      </c>
      <c r="G171" s="4">
        <v>754</v>
      </c>
      <c r="H171" s="2">
        <v>10649</v>
      </c>
      <c r="I171" s="2">
        <v>15083</v>
      </c>
      <c r="J171" s="3">
        <f>SUM(H171/I171)</f>
        <v>0.70602665252270769</v>
      </c>
      <c r="K171" s="4">
        <v>202</v>
      </c>
      <c r="L171" s="2">
        <v>2706</v>
      </c>
      <c r="M171" s="2">
        <v>3833</v>
      </c>
      <c r="N171" s="5">
        <f>SUM(L171/M171)</f>
        <v>0.70597443255935299</v>
      </c>
      <c r="O171" s="5" t="s">
        <v>36</v>
      </c>
      <c r="P171" s="5" t="s">
        <v>36</v>
      </c>
      <c r="Q171" s="2" t="s">
        <v>36</v>
      </c>
      <c r="R171" s="2" t="s">
        <v>36</v>
      </c>
      <c r="S171" s="2" t="s">
        <v>36</v>
      </c>
      <c r="T171" s="6" t="s">
        <v>37</v>
      </c>
    </row>
    <row r="172" spans="1:20">
      <c r="A172" s="51" t="s">
        <v>43</v>
      </c>
      <c r="B172" s="1" t="s">
        <v>38</v>
      </c>
      <c r="C172" s="2">
        <v>876</v>
      </c>
      <c r="D172" s="2">
        <v>638.22</v>
      </c>
      <c r="E172" s="2">
        <v>0</v>
      </c>
      <c r="F172" s="5">
        <f t="shared" si="66"/>
        <v>0.7285616438356165</v>
      </c>
      <c r="G172" s="4">
        <v>759</v>
      </c>
      <c r="H172" s="2">
        <v>10710</v>
      </c>
      <c r="I172" s="2">
        <v>15170</v>
      </c>
      <c r="J172" s="3">
        <f t="shared" ref="J172:J176" si="67">SUM(H172/I172)</f>
        <v>0.70599868160843771</v>
      </c>
      <c r="K172" s="4">
        <v>278</v>
      </c>
      <c r="L172" s="2">
        <v>3733</v>
      </c>
      <c r="M172" s="2">
        <v>5728</v>
      </c>
      <c r="N172" s="5">
        <f t="shared" ref="N172:N176" si="68">SUM(L172/M172)</f>
        <v>0.65171089385474856</v>
      </c>
      <c r="O172" s="5" t="s">
        <v>36</v>
      </c>
      <c r="P172" s="5" t="s">
        <v>36</v>
      </c>
      <c r="Q172" s="2" t="s">
        <v>36</v>
      </c>
      <c r="R172" s="2" t="s">
        <v>36</v>
      </c>
      <c r="S172" s="2" t="s">
        <v>36</v>
      </c>
      <c r="T172" s="7" t="s">
        <v>37</v>
      </c>
    </row>
    <row r="173" spans="1:20">
      <c r="A173" s="51" t="s">
        <v>43</v>
      </c>
      <c r="B173" s="1" t="s">
        <v>39</v>
      </c>
      <c r="C173" s="2">
        <v>607</v>
      </c>
      <c r="D173" s="2">
        <v>439.84</v>
      </c>
      <c r="E173" s="2">
        <v>0</v>
      </c>
      <c r="F173" s="5">
        <f t="shared" si="66"/>
        <v>0.72461285008237231</v>
      </c>
      <c r="G173" s="4">
        <v>498</v>
      </c>
      <c r="H173" s="2">
        <v>7027</v>
      </c>
      <c r="I173" s="2">
        <v>9953</v>
      </c>
      <c r="J173" s="3">
        <f t="shared" si="67"/>
        <v>0.70601828594393645</v>
      </c>
      <c r="K173" s="4">
        <v>248</v>
      </c>
      <c r="L173" s="2">
        <v>3327</v>
      </c>
      <c r="M173" s="2">
        <v>4712</v>
      </c>
      <c r="N173" s="5">
        <f t="shared" si="68"/>
        <v>0.70606960950764008</v>
      </c>
      <c r="O173" s="5" t="s">
        <v>36</v>
      </c>
      <c r="P173" s="5" t="s">
        <v>36</v>
      </c>
      <c r="Q173" s="2" t="s">
        <v>36</v>
      </c>
      <c r="R173" s="2" t="s">
        <v>36</v>
      </c>
      <c r="S173" s="2" t="s">
        <v>36</v>
      </c>
      <c r="T173" s="7" t="s">
        <v>37</v>
      </c>
    </row>
    <row r="174" spans="1:20">
      <c r="A174" s="51" t="s">
        <v>43</v>
      </c>
      <c r="B174" s="1" t="s">
        <v>40</v>
      </c>
      <c r="C174" s="2">
        <v>295</v>
      </c>
      <c r="D174" s="2">
        <v>216.74</v>
      </c>
      <c r="E174" s="2">
        <v>0</v>
      </c>
      <c r="F174" s="5">
        <f t="shared" si="66"/>
        <v>0.73471186440677971</v>
      </c>
      <c r="G174" s="4">
        <v>239</v>
      </c>
      <c r="H174" s="2">
        <v>3378</v>
      </c>
      <c r="I174" s="2">
        <v>4785</v>
      </c>
      <c r="J174" s="3">
        <f t="shared" si="67"/>
        <v>0.70595611285266457</v>
      </c>
      <c r="K174" s="4">
        <v>225</v>
      </c>
      <c r="L174" s="2">
        <v>3014</v>
      </c>
      <c r="M174" s="2">
        <v>4269</v>
      </c>
      <c r="N174" s="5">
        <f t="shared" si="68"/>
        <v>0.70602014523307566</v>
      </c>
      <c r="O174" s="5" t="s">
        <v>37</v>
      </c>
      <c r="P174" s="5" t="s">
        <v>36</v>
      </c>
      <c r="Q174" s="2" t="s">
        <v>36</v>
      </c>
      <c r="R174" s="2" t="s">
        <v>36</v>
      </c>
      <c r="S174" s="2" t="s">
        <v>36</v>
      </c>
      <c r="T174" s="7" t="s">
        <v>37</v>
      </c>
    </row>
    <row r="175" spans="1:20">
      <c r="A175" s="51" t="s">
        <v>43</v>
      </c>
      <c r="B175" s="1" t="s">
        <v>41</v>
      </c>
      <c r="C175" s="2">
        <v>517</v>
      </c>
      <c r="D175" s="2">
        <v>376.3</v>
      </c>
      <c r="E175" s="2">
        <v>0</v>
      </c>
      <c r="F175" s="5">
        <f t="shared" si="66"/>
        <v>0.72785299806576409</v>
      </c>
      <c r="G175" s="4">
        <v>369</v>
      </c>
      <c r="H175" s="2">
        <v>5204</v>
      </c>
      <c r="I175" s="2">
        <v>7371</v>
      </c>
      <c r="J175" s="3">
        <f t="shared" si="67"/>
        <v>0.7060100393433727</v>
      </c>
      <c r="K175" s="4">
        <v>204</v>
      </c>
      <c r="L175" s="2">
        <v>2740</v>
      </c>
      <c r="M175" s="2">
        <v>3881</v>
      </c>
      <c r="N175" s="5">
        <f t="shared" si="68"/>
        <v>0.70600360731770162</v>
      </c>
      <c r="O175" s="5" t="s">
        <v>36</v>
      </c>
      <c r="P175" s="5" t="s">
        <v>36</v>
      </c>
      <c r="Q175" s="2" t="s">
        <v>36</v>
      </c>
      <c r="R175" s="2" t="s">
        <v>36</v>
      </c>
      <c r="S175" s="2" t="s">
        <v>36</v>
      </c>
      <c r="T175" s="7" t="s">
        <v>37</v>
      </c>
    </row>
    <row r="176" spans="1:20">
      <c r="A176" s="51" t="s">
        <v>43</v>
      </c>
      <c r="B176" s="1" t="s">
        <v>42</v>
      </c>
      <c r="C176" s="2">
        <v>493</v>
      </c>
      <c r="D176" s="2">
        <v>358.65</v>
      </c>
      <c r="E176" s="2">
        <v>0</v>
      </c>
      <c r="F176" s="5">
        <f t="shared" si="66"/>
        <v>0.72748478701825559</v>
      </c>
      <c r="G176" s="4">
        <v>398</v>
      </c>
      <c r="H176" s="2">
        <v>5623</v>
      </c>
      <c r="I176" s="2">
        <v>7964</v>
      </c>
      <c r="J176" s="3">
        <f t="shared" si="67"/>
        <v>0.70605223505775994</v>
      </c>
      <c r="K176" s="4">
        <v>227</v>
      </c>
      <c r="L176" s="2">
        <v>3050</v>
      </c>
      <c r="M176" s="2">
        <v>4320</v>
      </c>
      <c r="N176" s="5">
        <f t="shared" si="68"/>
        <v>0.70601851851851849</v>
      </c>
      <c r="O176" s="5" t="s">
        <v>36</v>
      </c>
      <c r="P176" s="5" t="s">
        <v>36</v>
      </c>
      <c r="Q176" s="2" t="s">
        <v>36</v>
      </c>
      <c r="R176" s="2" t="s">
        <v>36</v>
      </c>
      <c r="S176" s="2" t="s">
        <v>36</v>
      </c>
      <c r="T176" s="7" t="s">
        <v>37</v>
      </c>
    </row>
    <row r="177" spans="1:20">
      <c r="A177" s="51" t="s">
        <v>160</v>
      </c>
      <c r="B177" s="1" t="s">
        <v>331</v>
      </c>
      <c r="C177" s="2">
        <v>477</v>
      </c>
      <c r="D177" s="2">
        <v>446</v>
      </c>
      <c r="E177" s="2"/>
      <c r="F177" s="5">
        <v>0.93300000000000005</v>
      </c>
      <c r="G177" s="4">
        <v>335</v>
      </c>
      <c r="H177" s="2">
        <v>6242</v>
      </c>
      <c r="I177" s="2">
        <v>6690</v>
      </c>
      <c r="J177" s="3">
        <v>0.93</v>
      </c>
      <c r="K177" s="4">
        <v>334</v>
      </c>
      <c r="L177" s="2">
        <v>6234</v>
      </c>
      <c r="M177" s="2">
        <v>6682</v>
      </c>
      <c r="N177" s="5">
        <v>0.93300000000000005</v>
      </c>
      <c r="O177" s="5" t="s">
        <v>73</v>
      </c>
      <c r="P177" s="5"/>
      <c r="Q177" s="2" t="s">
        <v>73</v>
      </c>
      <c r="R177" s="2"/>
      <c r="S177" s="2"/>
      <c r="T177" s="7" t="s">
        <v>73</v>
      </c>
    </row>
    <row r="178" spans="1:20">
      <c r="A178" s="51" t="s">
        <v>160</v>
      </c>
      <c r="B178" s="1" t="s">
        <v>332</v>
      </c>
      <c r="C178" s="2">
        <v>680</v>
      </c>
      <c r="D178" s="2">
        <v>635</v>
      </c>
      <c r="E178" s="2"/>
      <c r="F178" s="5">
        <v>0.93300000000000005</v>
      </c>
      <c r="G178" s="4">
        <v>537</v>
      </c>
      <c r="H178" s="2">
        <v>10023</v>
      </c>
      <c r="I178" s="2">
        <v>10743</v>
      </c>
      <c r="J178" s="3">
        <v>0.93</v>
      </c>
      <c r="K178" s="4">
        <v>447</v>
      </c>
      <c r="L178" s="2">
        <v>8332</v>
      </c>
      <c r="M178" s="2">
        <v>8930</v>
      </c>
      <c r="N178" s="5">
        <v>0.93300000000000005</v>
      </c>
      <c r="O178" s="5" t="s">
        <v>73</v>
      </c>
      <c r="P178" s="5" t="s">
        <v>73</v>
      </c>
      <c r="Q178" s="2" t="s">
        <v>73</v>
      </c>
      <c r="R178" s="2"/>
      <c r="S178" s="2"/>
      <c r="T178" s="7" t="s">
        <v>73</v>
      </c>
    </row>
    <row r="179" spans="1:20">
      <c r="A179" s="51" t="s">
        <v>160</v>
      </c>
      <c r="B179" s="1" t="s">
        <v>333</v>
      </c>
      <c r="C179" s="2">
        <v>732</v>
      </c>
      <c r="D179" s="2">
        <v>683</v>
      </c>
      <c r="E179" s="2"/>
      <c r="F179" s="5">
        <v>0.93300000000000005</v>
      </c>
      <c r="G179" s="4">
        <v>626</v>
      </c>
      <c r="H179" s="2">
        <v>11674</v>
      </c>
      <c r="I179" s="2">
        <v>12512</v>
      </c>
      <c r="J179" s="3">
        <v>0.93</v>
      </c>
      <c r="K179" s="4">
        <v>240</v>
      </c>
      <c r="L179" s="2">
        <v>4471</v>
      </c>
      <c r="M179" s="2">
        <v>4792</v>
      </c>
      <c r="N179" s="5">
        <v>0.93300000000000005</v>
      </c>
      <c r="O179" s="5"/>
      <c r="P179" s="5"/>
      <c r="Q179" s="2" t="s">
        <v>73</v>
      </c>
      <c r="R179" s="2"/>
      <c r="S179" s="2"/>
      <c r="T179" s="7" t="s">
        <v>73</v>
      </c>
    </row>
    <row r="180" spans="1:20">
      <c r="A180" s="51" t="s">
        <v>160</v>
      </c>
      <c r="B180" s="1" t="s">
        <v>334</v>
      </c>
      <c r="C180" s="2">
        <v>539</v>
      </c>
      <c r="D180" s="2">
        <v>503</v>
      </c>
      <c r="E180" s="2"/>
      <c r="F180" s="5">
        <v>0.93300000000000005</v>
      </c>
      <c r="G180" s="4">
        <v>426</v>
      </c>
      <c r="H180" s="2">
        <v>7947</v>
      </c>
      <c r="I180" s="2">
        <v>8518</v>
      </c>
      <c r="J180" s="3">
        <v>0.93</v>
      </c>
      <c r="K180" s="4">
        <v>62</v>
      </c>
      <c r="L180" s="2">
        <v>1165</v>
      </c>
      <c r="M180" s="2">
        <v>1249</v>
      </c>
      <c r="N180" s="5">
        <v>0.93269999999999997</v>
      </c>
      <c r="O180" s="5"/>
      <c r="P180" s="5"/>
      <c r="Q180" s="2" t="s">
        <v>73</v>
      </c>
      <c r="R180" s="2"/>
      <c r="S180" s="2"/>
      <c r="T180" s="7" t="s">
        <v>73</v>
      </c>
    </row>
    <row r="181" spans="1:20">
      <c r="A181" s="51" t="s">
        <v>161</v>
      </c>
      <c r="B181" s="1" t="s">
        <v>248</v>
      </c>
      <c r="C181" s="2">
        <v>409</v>
      </c>
      <c r="D181" s="2">
        <f t="shared" ref="D181:D186" si="69">C181*0.74</f>
        <v>302.65999999999997</v>
      </c>
      <c r="E181" s="2">
        <v>0</v>
      </c>
      <c r="F181" s="5">
        <f t="shared" ref="F181:F186" si="70">SUM(D181+E181)/C181</f>
        <v>0.73999999999999988</v>
      </c>
      <c r="G181" s="4">
        <f>4851/20</f>
        <v>242.55</v>
      </c>
      <c r="H181" s="2">
        <v>3590</v>
      </c>
      <c r="I181" s="2">
        <v>4851</v>
      </c>
      <c r="J181" s="3">
        <f>SUM(H181/I181)</f>
        <v>0.74005359719645436</v>
      </c>
      <c r="K181" s="4">
        <f>5142/20</f>
        <v>257.10000000000002</v>
      </c>
      <c r="L181" s="2">
        <v>3805</v>
      </c>
      <c r="M181" s="2">
        <v>5142</v>
      </c>
      <c r="N181" s="5">
        <f>SUM(L181/M181)</f>
        <v>0.73998444185141965</v>
      </c>
      <c r="O181" s="5"/>
      <c r="P181" s="5"/>
      <c r="Q181" s="2" t="s">
        <v>36</v>
      </c>
      <c r="R181" s="2" t="s">
        <v>36</v>
      </c>
      <c r="S181" s="2" t="s">
        <v>36</v>
      </c>
      <c r="T181" s="6" t="s">
        <v>72</v>
      </c>
    </row>
    <row r="182" spans="1:20">
      <c r="A182" s="51" t="s">
        <v>161</v>
      </c>
      <c r="B182" s="1" t="s">
        <v>249</v>
      </c>
      <c r="C182" s="2">
        <v>641</v>
      </c>
      <c r="D182" s="2">
        <f t="shared" si="69"/>
        <v>474.34</v>
      </c>
      <c r="E182" s="2">
        <v>0</v>
      </c>
      <c r="F182" s="5">
        <f t="shared" si="70"/>
        <v>0.74</v>
      </c>
      <c r="G182" s="4">
        <f>10060/20</f>
        <v>503</v>
      </c>
      <c r="H182" s="2">
        <v>7444</v>
      </c>
      <c r="I182" s="2">
        <v>10060</v>
      </c>
      <c r="J182" s="3">
        <f t="shared" ref="J182:J186" si="71">SUM(H182/I182)</f>
        <v>0.7399602385685885</v>
      </c>
      <c r="K182" s="4">
        <f>6649/20</f>
        <v>332.45</v>
      </c>
      <c r="L182" s="2">
        <v>4920</v>
      </c>
      <c r="M182" s="2">
        <v>6649</v>
      </c>
      <c r="N182" s="5">
        <f t="shared" ref="N182:N186" si="72">SUM(L182/M182)</f>
        <v>0.73996089637539475</v>
      </c>
      <c r="O182" s="5"/>
      <c r="P182" s="5"/>
      <c r="Q182" s="2" t="s">
        <v>72</v>
      </c>
      <c r="R182" s="2" t="s">
        <v>36</v>
      </c>
      <c r="S182" s="2" t="s">
        <v>36</v>
      </c>
      <c r="T182" s="7" t="s">
        <v>72</v>
      </c>
    </row>
    <row r="183" spans="1:20">
      <c r="A183" s="51" t="s">
        <v>161</v>
      </c>
      <c r="B183" s="1" t="s">
        <v>250</v>
      </c>
      <c r="C183" s="2">
        <v>523</v>
      </c>
      <c r="D183" s="2">
        <f t="shared" si="69"/>
        <v>387.02</v>
      </c>
      <c r="E183" s="2">
        <v>0</v>
      </c>
      <c r="F183" s="5">
        <f t="shared" si="70"/>
        <v>0.74</v>
      </c>
      <c r="G183" s="4">
        <f>8229/20</f>
        <v>411.45</v>
      </c>
      <c r="H183" s="2">
        <v>6089</v>
      </c>
      <c r="I183" s="2">
        <v>8229</v>
      </c>
      <c r="J183" s="3">
        <f t="shared" si="71"/>
        <v>0.73994410013367362</v>
      </c>
      <c r="K183" s="4">
        <f>5959/20</f>
        <v>297.95</v>
      </c>
      <c r="L183" s="2">
        <v>4410</v>
      </c>
      <c r="M183" s="2">
        <v>5959</v>
      </c>
      <c r="N183" s="5">
        <f t="shared" si="72"/>
        <v>0.74005705655311294</v>
      </c>
      <c r="O183" s="5"/>
      <c r="P183" s="5"/>
      <c r="Q183" s="2" t="s">
        <v>72</v>
      </c>
      <c r="R183" s="2" t="s">
        <v>36</v>
      </c>
      <c r="S183" s="2" t="s">
        <v>36</v>
      </c>
      <c r="T183" s="7" t="s">
        <v>72</v>
      </c>
    </row>
    <row r="184" spans="1:20">
      <c r="A184" s="51" t="s">
        <v>161</v>
      </c>
      <c r="B184" s="1" t="s">
        <v>251</v>
      </c>
      <c r="C184" s="2">
        <v>560</v>
      </c>
      <c r="D184" s="2">
        <f t="shared" si="69"/>
        <v>414.4</v>
      </c>
      <c r="E184" s="2">
        <v>0</v>
      </c>
      <c r="F184" s="5">
        <f t="shared" si="70"/>
        <v>0.74</v>
      </c>
      <c r="G184" s="4">
        <f>8714/20</f>
        <v>435.7</v>
      </c>
      <c r="H184" s="2">
        <v>6448</v>
      </c>
      <c r="I184" s="2">
        <v>8714</v>
      </c>
      <c r="J184" s="3">
        <f t="shared" si="71"/>
        <v>0.73995868717007118</v>
      </c>
      <c r="K184" s="4">
        <f>5900/20</f>
        <v>295</v>
      </c>
      <c r="L184" s="2">
        <v>4366</v>
      </c>
      <c r="M184" s="2">
        <v>5900</v>
      </c>
      <c r="N184" s="5">
        <f t="shared" si="72"/>
        <v>0.74</v>
      </c>
      <c r="O184" s="5"/>
      <c r="P184" s="5"/>
      <c r="Q184" s="2" t="s">
        <v>72</v>
      </c>
      <c r="R184" s="2" t="s">
        <v>36</v>
      </c>
      <c r="S184" s="2" t="s">
        <v>36</v>
      </c>
      <c r="T184" s="7" t="s">
        <v>72</v>
      </c>
    </row>
    <row r="185" spans="1:20">
      <c r="A185" s="51" t="s">
        <v>161</v>
      </c>
      <c r="B185" s="1" t="s">
        <v>252</v>
      </c>
      <c r="C185" s="2">
        <v>969</v>
      </c>
      <c r="D185" s="2">
        <f t="shared" si="69"/>
        <v>717.06</v>
      </c>
      <c r="E185" s="2">
        <v>0</v>
      </c>
      <c r="F185" s="5">
        <f t="shared" si="70"/>
        <v>0.74</v>
      </c>
      <c r="G185" s="4">
        <f>15379/20</f>
        <v>768.95</v>
      </c>
      <c r="H185" s="2">
        <v>11380</v>
      </c>
      <c r="I185" s="2">
        <v>15379</v>
      </c>
      <c r="J185" s="3">
        <f t="shared" si="71"/>
        <v>0.73997008908251516</v>
      </c>
      <c r="K185" s="4">
        <f>7222/20</f>
        <v>361.1</v>
      </c>
      <c r="L185" s="2">
        <v>5344</v>
      </c>
      <c r="M185" s="2">
        <v>7222</v>
      </c>
      <c r="N185" s="5">
        <f t="shared" si="72"/>
        <v>0.73996122957629462</v>
      </c>
      <c r="O185" s="5"/>
      <c r="P185" s="5"/>
      <c r="Q185" s="2" t="s">
        <v>72</v>
      </c>
      <c r="R185" s="2" t="s">
        <v>36</v>
      </c>
      <c r="S185" s="2" t="s">
        <v>36</v>
      </c>
      <c r="T185" s="7" t="s">
        <v>72</v>
      </c>
    </row>
    <row r="186" spans="1:20">
      <c r="A186" s="51" t="s">
        <v>161</v>
      </c>
      <c r="B186" s="1" t="s">
        <v>253</v>
      </c>
      <c r="C186" s="2">
        <v>1020</v>
      </c>
      <c r="D186" s="2">
        <f t="shared" si="69"/>
        <v>754.8</v>
      </c>
      <c r="E186" s="2">
        <v>0</v>
      </c>
      <c r="F186" s="5">
        <f t="shared" si="70"/>
        <v>0.74</v>
      </c>
      <c r="G186" s="4">
        <f>12957/20</f>
        <v>647.85</v>
      </c>
      <c r="H186" s="2">
        <v>9588</v>
      </c>
      <c r="I186" s="2">
        <v>12957</v>
      </c>
      <c r="J186" s="3">
        <f t="shared" si="71"/>
        <v>0.73998610789534613</v>
      </c>
      <c r="K186" s="4">
        <f>4672/20</f>
        <v>233.6</v>
      </c>
      <c r="L186" s="2">
        <v>3457</v>
      </c>
      <c r="M186" s="2">
        <v>4672</v>
      </c>
      <c r="N186" s="5">
        <f t="shared" si="72"/>
        <v>0.73994006849315064</v>
      </c>
      <c r="O186" s="5"/>
      <c r="P186" s="5"/>
      <c r="Q186" s="2" t="s">
        <v>36</v>
      </c>
      <c r="R186" s="2" t="s">
        <v>36</v>
      </c>
      <c r="S186" s="2" t="s">
        <v>36</v>
      </c>
      <c r="T186" s="7" t="s">
        <v>72</v>
      </c>
    </row>
    <row r="187" spans="1:20">
      <c r="A187" s="51" t="s">
        <v>162</v>
      </c>
      <c r="B187" s="1" t="s">
        <v>335</v>
      </c>
      <c r="C187" s="2">
        <v>701</v>
      </c>
      <c r="D187" s="2">
        <v>49</v>
      </c>
      <c r="E187" s="2">
        <v>7</v>
      </c>
      <c r="F187" s="5">
        <v>7.9899999999999999E-2</v>
      </c>
      <c r="G187" s="4">
        <v>264</v>
      </c>
      <c r="H187" s="2">
        <v>783</v>
      </c>
      <c r="I187" s="2">
        <v>5005</v>
      </c>
      <c r="J187" s="3">
        <v>0.16</v>
      </c>
      <c r="K187" s="4">
        <v>41</v>
      </c>
      <c r="L187" s="2">
        <v>200</v>
      </c>
      <c r="M187" s="2">
        <v>774</v>
      </c>
      <c r="N187" s="5">
        <v>0.25840000000000002</v>
      </c>
      <c r="O187" s="5"/>
      <c r="P187" s="5" t="s">
        <v>73</v>
      </c>
      <c r="Q187" s="2" t="s">
        <v>36</v>
      </c>
      <c r="R187" s="2" t="s">
        <v>36</v>
      </c>
      <c r="S187" s="2" t="s">
        <v>36</v>
      </c>
      <c r="T187" s="2" t="s">
        <v>36</v>
      </c>
    </row>
    <row r="188" spans="1:20">
      <c r="A188" s="51" t="s">
        <v>162</v>
      </c>
      <c r="B188" s="1" t="s">
        <v>336</v>
      </c>
      <c r="C188" s="2">
        <v>458</v>
      </c>
      <c r="D188" s="2">
        <v>64</v>
      </c>
      <c r="E188" s="2">
        <v>12</v>
      </c>
      <c r="F188" s="5">
        <v>0.16589999999999999</v>
      </c>
      <c r="G188" s="4">
        <v>228</v>
      </c>
      <c r="H188" s="2">
        <v>1089</v>
      </c>
      <c r="I188" s="2">
        <v>4332</v>
      </c>
      <c r="J188" s="3">
        <v>0.25</v>
      </c>
      <c r="K188" s="4">
        <v>36</v>
      </c>
      <c r="L188" s="2">
        <v>387</v>
      </c>
      <c r="M188" s="2">
        <v>675</v>
      </c>
      <c r="N188" s="5">
        <v>0.57330000000000003</v>
      </c>
      <c r="O188" s="5"/>
      <c r="P188" s="5" t="s">
        <v>73</v>
      </c>
      <c r="Q188" s="2" t="s">
        <v>36</v>
      </c>
      <c r="R188" s="2" t="s">
        <v>36</v>
      </c>
      <c r="S188" s="2" t="s">
        <v>36</v>
      </c>
      <c r="T188" s="2" t="s">
        <v>36</v>
      </c>
    </row>
    <row r="189" spans="1:20">
      <c r="A189" s="51" t="s">
        <v>163</v>
      </c>
      <c r="B189" s="1" t="s">
        <v>254</v>
      </c>
      <c r="C189" s="2">
        <v>7</v>
      </c>
      <c r="D189" s="2">
        <v>7</v>
      </c>
      <c r="E189" s="2">
        <v>0</v>
      </c>
      <c r="F189" s="5">
        <f>SUM(D189+E189)/C189</f>
        <v>1</v>
      </c>
      <c r="G189" s="4">
        <v>7</v>
      </c>
      <c r="H189" s="2">
        <v>70</v>
      </c>
      <c r="I189" s="2">
        <v>70</v>
      </c>
      <c r="J189" s="3">
        <f>SUM(H189/I189)</f>
        <v>1</v>
      </c>
      <c r="K189" s="4">
        <v>7</v>
      </c>
      <c r="L189" s="2">
        <v>217</v>
      </c>
      <c r="M189" s="2">
        <v>217</v>
      </c>
      <c r="N189" s="5">
        <f>SUM(L189/M189)</f>
        <v>1</v>
      </c>
      <c r="O189" s="5"/>
      <c r="P189" s="5"/>
      <c r="Q189" s="2" t="s">
        <v>72</v>
      </c>
      <c r="R189" s="2" t="s">
        <v>36</v>
      </c>
      <c r="S189" s="2" t="s">
        <v>36</v>
      </c>
      <c r="T189" s="6" t="s">
        <v>36</v>
      </c>
    </row>
    <row r="190" spans="1:20">
      <c r="A190" s="51" t="s">
        <v>163</v>
      </c>
      <c r="B190" s="1" t="s">
        <v>255</v>
      </c>
      <c r="C190" s="2">
        <v>11</v>
      </c>
      <c r="D190" s="2">
        <v>11</v>
      </c>
      <c r="E190" s="2">
        <v>0</v>
      </c>
      <c r="F190" s="5">
        <f>SUM(D190+E190)/C190</f>
        <v>1</v>
      </c>
      <c r="G190" s="4">
        <v>10</v>
      </c>
      <c r="H190" s="2">
        <v>107</v>
      </c>
      <c r="I190" s="2">
        <v>107</v>
      </c>
      <c r="J190" s="3">
        <f>SUM(H190/I190)</f>
        <v>1</v>
      </c>
      <c r="K190" s="4">
        <v>11</v>
      </c>
      <c r="L190" s="2">
        <v>316</v>
      </c>
      <c r="M190" s="2">
        <v>316</v>
      </c>
      <c r="N190" s="5">
        <f>SUM(L190/M190)</f>
        <v>1</v>
      </c>
      <c r="O190" s="5"/>
      <c r="P190" s="5"/>
      <c r="Q190" s="2" t="s">
        <v>72</v>
      </c>
      <c r="R190" s="2"/>
      <c r="S190" s="2"/>
      <c r="T190" s="7"/>
    </row>
    <row r="191" spans="1:20">
      <c r="A191" s="51" t="s">
        <v>163</v>
      </c>
      <c r="B191" s="1" t="s">
        <v>256</v>
      </c>
      <c r="C191" s="2">
        <v>7</v>
      </c>
      <c r="D191" s="2">
        <v>7</v>
      </c>
      <c r="E191" s="2">
        <v>0</v>
      </c>
      <c r="F191" s="5">
        <f>SUM(D191+E191)/C191</f>
        <v>1</v>
      </c>
      <c r="G191" s="4">
        <v>6</v>
      </c>
      <c r="H191" s="2">
        <v>68</v>
      </c>
      <c r="I191" s="2">
        <v>68</v>
      </c>
      <c r="J191" s="3">
        <f>SUM(H191/I191)</f>
        <v>1</v>
      </c>
      <c r="K191" s="4">
        <v>7</v>
      </c>
      <c r="L191" s="2">
        <v>210</v>
      </c>
      <c r="M191" s="2">
        <v>210</v>
      </c>
      <c r="N191" s="5">
        <f>SUM(L191/M191)</f>
        <v>1</v>
      </c>
      <c r="O191" s="5"/>
      <c r="P191" s="5"/>
      <c r="Q191" s="2" t="s">
        <v>72</v>
      </c>
      <c r="R191" s="2"/>
      <c r="S191" s="2"/>
      <c r="T191" s="7"/>
    </row>
    <row r="192" spans="1:20">
      <c r="A192" s="51" t="s">
        <v>163</v>
      </c>
      <c r="B192" s="1" t="s">
        <v>257</v>
      </c>
      <c r="C192" s="2">
        <v>5</v>
      </c>
      <c r="D192" s="2">
        <v>5</v>
      </c>
      <c r="E192" s="2">
        <v>0</v>
      </c>
      <c r="F192" s="5">
        <f>SUM(D192+E192)/C192</f>
        <v>1</v>
      </c>
      <c r="G192" s="4">
        <v>4</v>
      </c>
      <c r="H192" s="2">
        <v>26</v>
      </c>
      <c r="I192" s="2">
        <v>26</v>
      </c>
      <c r="J192" s="3">
        <f>SUM(H192/I192)</f>
        <v>1</v>
      </c>
      <c r="K192" s="4">
        <v>5</v>
      </c>
      <c r="L192" s="2">
        <v>147</v>
      </c>
      <c r="M192" s="2">
        <v>147</v>
      </c>
      <c r="N192" s="5">
        <f>SUM(L192/M192)</f>
        <v>1</v>
      </c>
      <c r="O192" s="5"/>
      <c r="P192" s="5"/>
      <c r="Q192" s="2" t="s">
        <v>72</v>
      </c>
      <c r="R192" s="2"/>
      <c r="S192" s="2"/>
      <c r="T192" s="7"/>
    </row>
    <row r="193" spans="1:20">
      <c r="A193" s="51" t="s">
        <v>164</v>
      </c>
      <c r="B193" s="1" t="s">
        <v>258</v>
      </c>
      <c r="C193" s="2">
        <v>1587</v>
      </c>
      <c r="D193" s="2">
        <v>770</v>
      </c>
      <c r="E193" s="2">
        <v>110</v>
      </c>
      <c r="F193" s="5">
        <v>0.55449999999999999</v>
      </c>
      <c r="G193" s="4">
        <v>1025</v>
      </c>
      <c r="H193" s="2">
        <v>13405</v>
      </c>
      <c r="I193" s="2">
        <v>20506</v>
      </c>
      <c r="J193" s="3">
        <v>0.65</v>
      </c>
      <c r="K193" s="4">
        <v>386</v>
      </c>
      <c r="L193" s="2">
        <v>6118</v>
      </c>
      <c r="M193" s="2">
        <v>7722</v>
      </c>
      <c r="N193" s="5">
        <v>0.79</v>
      </c>
      <c r="O193" s="5" t="s">
        <v>36</v>
      </c>
      <c r="P193" s="5" t="s">
        <v>36</v>
      </c>
      <c r="Q193" s="2" t="s">
        <v>36</v>
      </c>
      <c r="R193" s="2" t="s">
        <v>36</v>
      </c>
      <c r="S193" s="2" t="s">
        <v>36</v>
      </c>
      <c r="T193" s="6" t="s">
        <v>36</v>
      </c>
    </row>
    <row r="194" spans="1:20">
      <c r="A194" s="51" t="s">
        <v>164</v>
      </c>
      <c r="B194" s="1" t="s">
        <v>259</v>
      </c>
      <c r="C194" s="2">
        <v>1123</v>
      </c>
      <c r="D194" s="2">
        <v>422</v>
      </c>
      <c r="E194" s="2">
        <v>71</v>
      </c>
      <c r="F194" s="5">
        <v>0.439</v>
      </c>
      <c r="G194" s="4">
        <v>693</v>
      </c>
      <c r="H194" s="2">
        <v>7372</v>
      </c>
      <c r="I194" s="2">
        <v>13866</v>
      </c>
      <c r="J194" s="3">
        <v>0.53</v>
      </c>
      <c r="K194" s="4">
        <v>239</v>
      </c>
      <c r="L194" s="2">
        <v>3379</v>
      </c>
      <c r="M194" s="2">
        <v>4780</v>
      </c>
      <c r="N194" s="5">
        <v>0.71</v>
      </c>
      <c r="O194" s="5" t="s">
        <v>36</v>
      </c>
      <c r="P194" s="5" t="s">
        <v>36</v>
      </c>
      <c r="Q194" s="2" t="s">
        <v>36</v>
      </c>
      <c r="R194" s="2" t="s">
        <v>36</v>
      </c>
      <c r="S194" s="2" t="s">
        <v>36</v>
      </c>
      <c r="T194" s="7" t="s">
        <v>36</v>
      </c>
    </row>
    <row r="195" spans="1:20">
      <c r="A195" s="51" t="s">
        <v>164</v>
      </c>
      <c r="B195" s="1" t="s">
        <v>260</v>
      </c>
      <c r="C195" s="2">
        <v>860</v>
      </c>
      <c r="D195" s="2">
        <v>549</v>
      </c>
      <c r="E195" s="2">
        <v>69</v>
      </c>
      <c r="F195" s="5">
        <v>0.71860000000000002</v>
      </c>
      <c r="G195" s="4">
        <v>551</v>
      </c>
      <c r="H195" s="2">
        <v>8962</v>
      </c>
      <c r="I195" s="2">
        <v>11020</v>
      </c>
      <c r="J195" s="3">
        <v>0.81</v>
      </c>
      <c r="K195" s="4">
        <v>272</v>
      </c>
      <c r="L195" s="2">
        <v>4781</v>
      </c>
      <c r="M195" s="2">
        <v>5442</v>
      </c>
      <c r="N195" s="5">
        <v>0.88</v>
      </c>
      <c r="O195" s="5" t="s">
        <v>36</v>
      </c>
      <c r="P195" s="5" t="s">
        <v>36</v>
      </c>
      <c r="Q195" s="2" t="s">
        <v>36</v>
      </c>
      <c r="R195" s="2" t="s">
        <v>36</v>
      </c>
      <c r="S195" s="2" t="s">
        <v>36</v>
      </c>
      <c r="T195" s="7" t="s">
        <v>36</v>
      </c>
    </row>
    <row r="196" spans="1:20">
      <c r="A196" s="51" t="s">
        <v>164</v>
      </c>
      <c r="B196" s="1" t="s">
        <v>261</v>
      </c>
      <c r="C196" s="2">
        <v>1119</v>
      </c>
      <c r="D196" s="2">
        <v>228</v>
      </c>
      <c r="E196" s="2">
        <v>53</v>
      </c>
      <c r="F196" s="5">
        <v>0.25119999999999998</v>
      </c>
      <c r="G196" s="4">
        <v>708</v>
      </c>
      <c r="H196" s="2">
        <v>4375</v>
      </c>
      <c r="I196" s="2">
        <v>14149</v>
      </c>
      <c r="J196" s="3">
        <v>0.31</v>
      </c>
      <c r="K196" s="4">
        <v>197</v>
      </c>
      <c r="L196" s="2">
        <v>2247</v>
      </c>
      <c r="M196" s="2">
        <v>3943</v>
      </c>
      <c r="N196" s="5">
        <v>0.56999999999999995</v>
      </c>
      <c r="O196" s="5" t="s">
        <v>36</v>
      </c>
      <c r="P196" s="5" t="s">
        <v>36</v>
      </c>
      <c r="Q196" s="2" t="s">
        <v>36</v>
      </c>
      <c r="R196" s="2" t="s">
        <v>36</v>
      </c>
      <c r="S196" s="2" t="s">
        <v>36</v>
      </c>
      <c r="T196" s="7" t="s">
        <v>36</v>
      </c>
    </row>
    <row r="197" spans="1:20">
      <c r="A197" s="51" t="s">
        <v>165</v>
      </c>
      <c r="B197" s="1" t="s">
        <v>165</v>
      </c>
      <c r="C197" s="2">
        <v>1335</v>
      </c>
      <c r="D197" s="2">
        <v>175</v>
      </c>
      <c r="E197" s="2">
        <v>35</v>
      </c>
      <c r="F197" s="5">
        <f>SUM(D197+E197)/C197</f>
        <v>0.15730337078651685</v>
      </c>
      <c r="G197" s="4">
        <v>378</v>
      </c>
      <c r="H197" s="2">
        <v>2744</v>
      </c>
      <c r="I197" s="2">
        <v>7196</v>
      </c>
      <c r="J197" s="3">
        <f>SUM(H197/I197)</f>
        <v>0.38132295719844356</v>
      </c>
      <c r="K197" s="4">
        <v>35</v>
      </c>
      <c r="L197" s="2">
        <v>457</v>
      </c>
      <c r="M197" s="2">
        <v>973</v>
      </c>
      <c r="N197" s="5">
        <f>SUM(L197/M197)</f>
        <v>0.46968139773895168</v>
      </c>
      <c r="O197" s="5"/>
      <c r="P197" s="5" t="s">
        <v>72</v>
      </c>
      <c r="Q197" s="2" t="s">
        <v>262</v>
      </c>
      <c r="R197" s="2" t="s">
        <v>262</v>
      </c>
      <c r="S197" s="2" t="s">
        <v>262</v>
      </c>
      <c r="T197" s="29" t="s">
        <v>262</v>
      </c>
    </row>
    <row r="198" spans="1:20">
      <c r="A198" s="51" t="s">
        <v>165</v>
      </c>
      <c r="B198" s="1" t="s">
        <v>263</v>
      </c>
      <c r="C198" s="2">
        <v>988</v>
      </c>
      <c r="D198" s="2">
        <v>87</v>
      </c>
      <c r="E198" s="2">
        <v>17</v>
      </c>
      <c r="F198" s="5">
        <f>SUM(D198+E198)/C198</f>
        <v>0.10526315789473684</v>
      </c>
      <c r="G198" s="4">
        <v>218</v>
      </c>
      <c r="H198" s="2">
        <v>1135</v>
      </c>
      <c r="I198" s="2">
        <v>4145</v>
      </c>
      <c r="J198" s="3">
        <f>SUM(H198/I198)</f>
        <v>0.27382388419782872</v>
      </c>
      <c r="K198" s="4">
        <v>12</v>
      </c>
      <c r="L198" s="2">
        <v>201</v>
      </c>
      <c r="M198" s="2">
        <v>225</v>
      </c>
      <c r="N198" s="5">
        <f>SUM(L198/M198)</f>
        <v>0.89333333333333331</v>
      </c>
      <c r="O198" s="5"/>
      <c r="P198" s="5" t="s">
        <v>72</v>
      </c>
      <c r="Q198" s="2" t="s">
        <v>262</v>
      </c>
      <c r="R198" s="2" t="s">
        <v>262</v>
      </c>
      <c r="S198" s="2" t="s">
        <v>262</v>
      </c>
      <c r="T198" s="29" t="s">
        <v>262</v>
      </c>
    </row>
    <row r="199" spans="1:20">
      <c r="A199" s="51" t="s">
        <v>166</v>
      </c>
      <c r="B199" s="1" t="s">
        <v>264</v>
      </c>
      <c r="C199" s="2">
        <v>646</v>
      </c>
      <c r="D199" s="2">
        <v>126</v>
      </c>
      <c r="E199" s="2">
        <v>26</v>
      </c>
      <c r="F199" s="5">
        <f t="shared" ref="F199:F201" si="73">SUM(D199+E199)/C199</f>
        <v>0.23529411764705882</v>
      </c>
      <c r="G199" s="4">
        <v>233</v>
      </c>
      <c r="H199" s="2">
        <f>272+1477</f>
        <v>1749</v>
      </c>
      <c r="I199" s="2">
        <v>3957</v>
      </c>
      <c r="J199" s="3">
        <f t="shared" ref="J199:J201" si="74">SUM(H199/I199)</f>
        <v>0.44200151630022744</v>
      </c>
      <c r="K199" s="4">
        <v>233</v>
      </c>
      <c r="L199" s="2">
        <f>202+1488</f>
        <v>1690</v>
      </c>
      <c r="M199" s="2">
        <v>2856</v>
      </c>
      <c r="N199" s="5">
        <f t="shared" ref="N199:N201" si="75">SUM(L199/M199)</f>
        <v>0.59173669467787116</v>
      </c>
      <c r="O199" s="5" t="s">
        <v>36</v>
      </c>
      <c r="P199" s="5" t="s">
        <v>72</v>
      </c>
      <c r="Q199" s="2" t="s">
        <v>36</v>
      </c>
      <c r="R199" s="2" t="s">
        <v>36</v>
      </c>
      <c r="S199" s="2" t="s">
        <v>36</v>
      </c>
      <c r="T199" s="7" t="s">
        <v>36</v>
      </c>
    </row>
    <row r="200" spans="1:20">
      <c r="A200" s="51" t="s">
        <v>166</v>
      </c>
      <c r="B200" s="1" t="s">
        <v>265</v>
      </c>
      <c r="C200" s="2">
        <v>728</v>
      </c>
      <c r="D200" s="2">
        <v>159</v>
      </c>
      <c r="E200" s="2">
        <v>39</v>
      </c>
      <c r="F200" s="5">
        <f t="shared" si="73"/>
        <v>0.27197802197802196</v>
      </c>
      <c r="G200" s="4">
        <v>314</v>
      </c>
      <c r="H200" s="2">
        <f>389+2165</f>
        <v>2554</v>
      </c>
      <c r="I200" s="2">
        <v>5655</v>
      </c>
      <c r="J200" s="3">
        <f t="shared" si="74"/>
        <v>0.45163572060123786</v>
      </c>
      <c r="K200" s="4">
        <v>314</v>
      </c>
      <c r="L200" s="2">
        <f>213+1562</f>
        <v>1775</v>
      </c>
      <c r="M200" s="2">
        <v>2808</v>
      </c>
      <c r="N200" s="5">
        <f t="shared" si="75"/>
        <v>0.63212250712250717</v>
      </c>
      <c r="O200" s="5" t="s">
        <v>36</v>
      </c>
      <c r="P200" s="5" t="s">
        <v>72</v>
      </c>
      <c r="Q200" s="2" t="s">
        <v>36</v>
      </c>
      <c r="R200" s="2" t="s">
        <v>36</v>
      </c>
      <c r="S200" s="2" t="s">
        <v>36</v>
      </c>
      <c r="T200" s="7" t="s">
        <v>36</v>
      </c>
    </row>
    <row r="201" spans="1:20">
      <c r="A201" s="51" t="s">
        <v>166</v>
      </c>
      <c r="B201" s="1" t="s">
        <v>266</v>
      </c>
      <c r="C201" s="2">
        <v>79</v>
      </c>
      <c r="D201" s="2">
        <v>25</v>
      </c>
      <c r="E201" s="2">
        <v>3</v>
      </c>
      <c r="F201" s="5">
        <f t="shared" si="73"/>
        <v>0.35443037974683544</v>
      </c>
      <c r="G201" s="4">
        <v>40</v>
      </c>
      <c r="H201" s="2">
        <f>44+345</f>
        <v>389</v>
      </c>
      <c r="I201" s="2">
        <v>677</v>
      </c>
      <c r="J201" s="3">
        <f t="shared" si="74"/>
        <v>0.57459379615952733</v>
      </c>
      <c r="K201" s="4">
        <v>40</v>
      </c>
      <c r="L201" s="2">
        <f>4+348</f>
        <v>352</v>
      </c>
      <c r="M201" s="2">
        <v>446</v>
      </c>
      <c r="N201" s="5">
        <f t="shared" si="75"/>
        <v>0.78923766816143492</v>
      </c>
      <c r="O201" s="5" t="s">
        <v>36</v>
      </c>
      <c r="P201" s="5" t="s">
        <v>72</v>
      </c>
      <c r="Q201" s="2" t="s">
        <v>36</v>
      </c>
      <c r="R201" s="2" t="s">
        <v>36</v>
      </c>
      <c r="S201" s="2" t="s">
        <v>36</v>
      </c>
      <c r="T201" s="7" t="s">
        <v>36</v>
      </c>
    </row>
    <row r="202" spans="1:20">
      <c r="A202" s="50" t="s">
        <v>167</v>
      </c>
      <c r="B202" s="1" t="s">
        <v>267</v>
      </c>
      <c r="C202" s="2">
        <v>111</v>
      </c>
      <c r="D202" s="2">
        <v>111</v>
      </c>
      <c r="E202" s="2">
        <v>0</v>
      </c>
      <c r="F202" s="5">
        <f t="shared" ref="F202" si="76">SUM(D202+E202)/C202</f>
        <v>1</v>
      </c>
      <c r="G202" s="4">
        <v>48</v>
      </c>
      <c r="H202" s="2">
        <v>1017</v>
      </c>
      <c r="I202" s="2">
        <v>1017</v>
      </c>
      <c r="J202" s="3">
        <f t="shared" ref="J202" si="77">SUM(H202/I202)</f>
        <v>1</v>
      </c>
      <c r="K202" s="4">
        <v>48</v>
      </c>
      <c r="L202" s="2">
        <v>1009</v>
      </c>
      <c r="M202" s="2">
        <v>1009</v>
      </c>
      <c r="N202" s="5">
        <f t="shared" ref="N202" si="78">SUM(L202/M202)</f>
        <v>1</v>
      </c>
      <c r="O202" s="5"/>
      <c r="P202" s="5"/>
      <c r="Q202" s="2" t="s">
        <v>72</v>
      </c>
      <c r="R202" s="2" t="s">
        <v>36</v>
      </c>
      <c r="S202" s="2" t="s">
        <v>36</v>
      </c>
      <c r="T202" s="7" t="s">
        <v>72</v>
      </c>
    </row>
    <row r="203" spans="1:20">
      <c r="A203" s="50" t="s">
        <v>168</v>
      </c>
      <c r="B203" s="1" t="s">
        <v>168</v>
      </c>
      <c r="C203" s="2">
        <v>82</v>
      </c>
      <c r="D203" s="2">
        <v>82</v>
      </c>
      <c r="E203" s="2">
        <v>0</v>
      </c>
      <c r="F203" s="5">
        <f t="shared" ref="F203" si="79">SUM(D203+E203)/C203</f>
        <v>1</v>
      </c>
      <c r="G203" s="4">
        <v>29</v>
      </c>
      <c r="H203" s="2">
        <v>527</v>
      </c>
      <c r="I203" s="2">
        <v>527</v>
      </c>
      <c r="J203" s="3">
        <f t="shared" ref="J203" si="80">SUM(H203/I203)</f>
        <v>1</v>
      </c>
      <c r="K203" s="4">
        <v>26</v>
      </c>
      <c r="L203" s="2">
        <v>462</v>
      </c>
      <c r="M203" s="2">
        <v>462</v>
      </c>
      <c r="N203" s="5">
        <f t="shared" ref="N203" si="81">SUM(L203/M203)</f>
        <v>1</v>
      </c>
      <c r="O203" s="5"/>
      <c r="P203" s="5"/>
      <c r="Q203" s="2" t="s">
        <v>27</v>
      </c>
      <c r="R203" s="2" t="s">
        <v>27</v>
      </c>
      <c r="S203" s="2" t="s">
        <v>27</v>
      </c>
      <c r="T203" s="7" t="s">
        <v>72</v>
      </c>
    </row>
    <row r="204" spans="1:20">
      <c r="A204" s="51" t="s">
        <v>169</v>
      </c>
      <c r="B204" s="1" t="s">
        <v>268</v>
      </c>
      <c r="C204" s="2">
        <v>1202</v>
      </c>
      <c r="D204" s="2">
        <v>269</v>
      </c>
      <c r="E204" s="2">
        <v>60</v>
      </c>
      <c r="F204" s="5">
        <f>SUM(D204+E204)/C204</f>
        <v>0.27371048252911812</v>
      </c>
      <c r="G204" s="4">
        <v>1151</v>
      </c>
      <c r="H204" s="2">
        <v>5549</v>
      </c>
      <c r="I204" s="2">
        <v>17883</v>
      </c>
      <c r="J204" s="3">
        <f t="shared" ref="J204:J210" si="82">SUM(H204/I204)</f>
        <v>0.31029469328412457</v>
      </c>
      <c r="K204" s="4">
        <v>1151</v>
      </c>
      <c r="L204" s="2">
        <v>1823</v>
      </c>
      <c r="M204" s="2">
        <v>3365</v>
      </c>
      <c r="N204" s="5">
        <f t="shared" ref="N204:N210" si="83">SUM(L204/M204)</f>
        <v>0.5417533432392273</v>
      </c>
      <c r="O204" s="5"/>
      <c r="P204" s="5"/>
      <c r="Q204" s="2" t="s">
        <v>36</v>
      </c>
      <c r="R204" s="2" t="s">
        <v>36</v>
      </c>
      <c r="S204" s="2" t="s">
        <v>36</v>
      </c>
      <c r="T204" s="6" t="s">
        <v>36</v>
      </c>
    </row>
    <row r="205" spans="1:20">
      <c r="A205" s="51" t="s">
        <v>169</v>
      </c>
      <c r="B205" s="1" t="s">
        <v>269</v>
      </c>
      <c r="C205" s="2">
        <v>5</v>
      </c>
      <c r="D205" s="2">
        <v>5</v>
      </c>
      <c r="E205" s="2"/>
      <c r="F205" s="5">
        <f>SUM(D205+E205)/C205</f>
        <v>1</v>
      </c>
      <c r="G205" s="4">
        <v>5</v>
      </c>
      <c r="H205" s="2">
        <v>85</v>
      </c>
      <c r="I205" s="2">
        <v>85</v>
      </c>
      <c r="J205" s="3">
        <f t="shared" si="82"/>
        <v>1</v>
      </c>
      <c r="K205" s="4">
        <v>5</v>
      </c>
      <c r="L205" s="2">
        <v>90</v>
      </c>
      <c r="M205" s="2">
        <v>90</v>
      </c>
      <c r="N205" s="5">
        <f t="shared" si="83"/>
        <v>1</v>
      </c>
      <c r="O205" s="5"/>
      <c r="P205" s="5"/>
      <c r="Q205" s="2"/>
      <c r="R205" s="2"/>
      <c r="S205" s="2"/>
      <c r="T205" s="7"/>
    </row>
    <row r="206" spans="1:20">
      <c r="A206" s="50" t="s">
        <v>170</v>
      </c>
      <c r="B206" s="1" t="s">
        <v>170</v>
      </c>
      <c r="C206" s="2">
        <v>24</v>
      </c>
      <c r="D206" s="2">
        <v>24</v>
      </c>
      <c r="E206" s="2"/>
      <c r="F206" s="5">
        <f t="shared" ref="F206" si="84">SUM(D206+E206)/C206</f>
        <v>1</v>
      </c>
      <c r="G206" s="4">
        <v>22.2</v>
      </c>
      <c r="H206" s="2">
        <v>444</v>
      </c>
      <c r="I206" s="2">
        <v>444</v>
      </c>
      <c r="J206" s="3">
        <f t="shared" si="82"/>
        <v>1</v>
      </c>
      <c r="K206" s="4">
        <v>22.2</v>
      </c>
      <c r="L206" s="2">
        <v>444</v>
      </c>
      <c r="M206" s="2">
        <v>444</v>
      </c>
      <c r="N206" s="5">
        <f t="shared" si="83"/>
        <v>1</v>
      </c>
      <c r="O206" s="5"/>
      <c r="P206" s="5"/>
      <c r="Q206" s="2" t="s">
        <v>36</v>
      </c>
      <c r="R206" s="2" t="s">
        <v>36</v>
      </c>
      <c r="S206" s="2" t="s">
        <v>36</v>
      </c>
      <c r="T206" s="6" t="s">
        <v>72</v>
      </c>
    </row>
    <row r="207" spans="1:20">
      <c r="A207" s="50" t="s">
        <v>171</v>
      </c>
      <c r="B207" s="22" t="s">
        <v>270</v>
      </c>
      <c r="C207" s="2">
        <v>125</v>
      </c>
      <c r="D207" s="2">
        <v>56</v>
      </c>
      <c r="E207" s="2">
        <v>8</v>
      </c>
      <c r="F207" s="5">
        <f t="shared" ref="F207" si="85">SUM(D207+E207)/C207</f>
        <v>0.51200000000000001</v>
      </c>
      <c r="G207" s="4">
        <v>51</v>
      </c>
      <c r="H207" s="2">
        <f>795+53</f>
        <v>848</v>
      </c>
      <c r="I207" s="2">
        <v>1019</v>
      </c>
      <c r="J207" s="3">
        <f t="shared" si="82"/>
        <v>0.83218842001962712</v>
      </c>
      <c r="K207" s="4">
        <v>38</v>
      </c>
      <c r="L207" s="2">
        <f>655+22</f>
        <v>677</v>
      </c>
      <c r="M207" s="2">
        <v>755</v>
      </c>
      <c r="N207" s="5">
        <f t="shared" si="83"/>
        <v>0.89668874172185431</v>
      </c>
      <c r="O207" s="5"/>
      <c r="P207" s="21" t="s">
        <v>72</v>
      </c>
      <c r="Q207" s="2" t="s">
        <v>36</v>
      </c>
      <c r="R207" s="2" t="s">
        <v>36</v>
      </c>
      <c r="S207" s="2" t="s">
        <v>36</v>
      </c>
      <c r="T207" s="6" t="s">
        <v>36</v>
      </c>
    </row>
    <row r="208" spans="1:20">
      <c r="A208" s="50" t="s">
        <v>172</v>
      </c>
      <c r="B208" s="1" t="s">
        <v>172</v>
      </c>
      <c r="C208" s="2">
        <v>145</v>
      </c>
      <c r="D208" s="2">
        <v>145</v>
      </c>
      <c r="E208" s="2">
        <v>0</v>
      </c>
      <c r="F208" s="5">
        <f t="shared" ref="F208" si="86">SUM(D208+E208)/C208</f>
        <v>1</v>
      </c>
      <c r="G208" s="4">
        <v>130.4</v>
      </c>
      <c r="H208" s="2">
        <v>2608</v>
      </c>
      <c r="I208" s="2">
        <v>2608</v>
      </c>
      <c r="J208" s="3">
        <f t="shared" si="82"/>
        <v>1</v>
      </c>
      <c r="K208" s="4">
        <v>68</v>
      </c>
      <c r="L208" s="2">
        <v>1365</v>
      </c>
      <c r="M208" s="2">
        <v>1365</v>
      </c>
      <c r="N208" s="5">
        <f t="shared" si="83"/>
        <v>1</v>
      </c>
      <c r="O208" s="5"/>
      <c r="P208" s="5"/>
      <c r="Q208" s="2" t="s">
        <v>36</v>
      </c>
      <c r="R208" s="2" t="s">
        <v>36</v>
      </c>
      <c r="S208" s="2" t="s">
        <v>36</v>
      </c>
      <c r="T208" s="6" t="s">
        <v>36</v>
      </c>
    </row>
    <row r="209" spans="1:20">
      <c r="A209" s="50" t="s">
        <v>173</v>
      </c>
      <c r="B209" s="1" t="s">
        <v>271</v>
      </c>
      <c r="C209" s="2">
        <v>687</v>
      </c>
      <c r="D209" s="2">
        <v>196</v>
      </c>
      <c r="E209" s="2">
        <v>33</v>
      </c>
      <c r="F209" s="5">
        <f t="shared" ref="F209" si="87">SUM(D209+E209)/C209</f>
        <v>0.33333333333333331</v>
      </c>
      <c r="G209" s="4">
        <v>344</v>
      </c>
      <c r="H209" s="2">
        <v>3467</v>
      </c>
      <c r="I209" s="2">
        <v>7218</v>
      </c>
      <c r="J209" s="3">
        <f t="shared" si="82"/>
        <v>0.4803269603768357</v>
      </c>
      <c r="K209" s="4">
        <v>113</v>
      </c>
      <c r="L209" s="2">
        <v>1417</v>
      </c>
      <c r="M209" s="2">
        <v>2382</v>
      </c>
      <c r="N209" s="5">
        <f t="shared" si="83"/>
        <v>0.59487825356842994</v>
      </c>
      <c r="O209" s="5" t="s">
        <v>73</v>
      </c>
      <c r="P209" s="5" t="s">
        <v>73</v>
      </c>
      <c r="Q209" s="2" t="s">
        <v>36</v>
      </c>
      <c r="R209" s="2" t="s">
        <v>36</v>
      </c>
      <c r="S209" s="2" t="s">
        <v>36</v>
      </c>
      <c r="T209" s="6" t="s">
        <v>36</v>
      </c>
    </row>
    <row r="210" spans="1:20">
      <c r="A210" s="51" t="s">
        <v>174</v>
      </c>
      <c r="B210" s="1" t="s">
        <v>272</v>
      </c>
      <c r="C210" s="10">
        <v>746</v>
      </c>
      <c r="D210" s="23">
        <f>C210*0.848</f>
        <v>632.60799999999995</v>
      </c>
      <c r="E210" s="23">
        <v>0</v>
      </c>
      <c r="F210" s="24">
        <f>SUM(D210+E210)/C210</f>
        <v>0.84799999999999998</v>
      </c>
      <c r="G210" s="4">
        <v>520</v>
      </c>
      <c r="H210" s="2">
        <v>7936</v>
      </c>
      <c r="I210" s="2">
        <v>9359</v>
      </c>
      <c r="J210" s="5">
        <f t="shared" si="82"/>
        <v>0.84795384122235284</v>
      </c>
      <c r="K210" s="4">
        <v>397</v>
      </c>
      <c r="L210" s="2">
        <v>6055</v>
      </c>
      <c r="M210" s="2">
        <v>7140</v>
      </c>
      <c r="N210" s="5">
        <f t="shared" si="83"/>
        <v>0.84803921568627449</v>
      </c>
      <c r="O210" s="5"/>
      <c r="P210" s="5" t="s">
        <v>73</v>
      </c>
      <c r="Q210" s="2" t="s">
        <v>72</v>
      </c>
      <c r="R210" s="2" t="s">
        <v>36</v>
      </c>
      <c r="S210" s="2" t="s">
        <v>36</v>
      </c>
      <c r="T210" s="6" t="s">
        <v>72</v>
      </c>
    </row>
    <row r="211" spans="1:20">
      <c r="A211" s="51" t="s">
        <v>174</v>
      </c>
      <c r="B211" s="1" t="s">
        <v>273</v>
      </c>
      <c r="C211" s="10">
        <v>645</v>
      </c>
      <c r="D211" s="23">
        <v>153</v>
      </c>
      <c r="E211" s="23">
        <v>12</v>
      </c>
      <c r="F211" s="24">
        <f>SUM(D211+E211)/C211</f>
        <v>0.2558139534883721</v>
      </c>
      <c r="G211" s="4">
        <v>322</v>
      </c>
      <c r="H211" s="2">
        <v>2537</v>
      </c>
      <c r="I211" s="2">
        <v>6121</v>
      </c>
      <c r="J211" s="5">
        <f t="shared" ref="J211:J235" si="88">SUM(H211/I211)</f>
        <v>0.41447475902630287</v>
      </c>
      <c r="K211" s="4">
        <v>135</v>
      </c>
      <c r="L211" s="2">
        <v>1412</v>
      </c>
      <c r="M211" s="2">
        <v>2557</v>
      </c>
      <c r="N211" s="5">
        <f t="shared" ref="N211:N235" si="89">SUM(L211/M211)</f>
        <v>0.55220962064919832</v>
      </c>
      <c r="O211" s="5"/>
      <c r="P211" s="5" t="s">
        <v>73</v>
      </c>
      <c r="Q211" s="2" t="s">
        <v>72</v>
      </c>
      <c r="R211" s="2" t="s">
        <v>36</v>
      </c>
      <c r="S211" s="2" t="s">
        <v>36</v>
      </c>
      <c r="T211" s="6" t="s">
        <v>36</v>
      </c>
    </row>
    <row r="212" spans="1:20">
      <c r="A212" s="51" t="s">
        <v>174</v>
      </c>
      <c r="B212" s="1" t="s">
        <v>274</v>
      </c>
      <c r="C212" s="10">
        <v>311</v>
      </c>
      <c r="D212" s="23">
        <f>C212*0.848</f>
        <v>263.72800000000001</v>
      </c>
      <c r="E212" s="23">
        <v>0</v>
      </c>
      <c r="F212" s="24">
        <f t="shared" ref="F212:F235" si="90">SUM(D212+E212)/C212</f>
        <v>0.84799999999999998</v>
      </c>
      <c r="G212" s="4">
        <v>276</v>
      </c>
      <c r="H212" s="2">
        <v>4210</v>
      </c>
      <c r="I212" s="2">
        <v>4965</v>
      </c>
      <c r="J212" s="24">
        <f>SUM(H212/I212)</f>
        <v>0.84793554884189326</v>
      </c>
      <c r="K212" s="23">
        <v>265</v>
      </c>
      <c r="L212" s="10">
        <v>4051</v>
      </c>
      <c r="M212" s="10">
        <v>4777</v>
      </c>
      <c r="N212" s="24">
        <f>SUM(L212/M212)</f>
        <v>0.84802177098597442</v>
      </c>
      <c r="O212" s="5"/>
      <c r="P212" s="5" t="s">
        <v>73</v>
      </c>
      <c r="Q212" s="2" t="s">
        <v>72</v>
      </c>
      <c r="R212" s="2" t="s">
        <v>36</v>
      </c>
      <c r="S212" s="2" t="s">
        <v>36</v>
      </c>
      <c r="T212" s="6" t="s">
        <v>72</v>
      </c>
    </row>
    <row r="213" spans="1:20">
      <c r="A213" s="51" t="s">
        <v>174</v>
      </c>
      <c r="B213" s="1" t="s">
        <v>275</v>
      </c>
      <c r="C213" s="10">
        <v>465</v>
      </c>
      <c r="D213" s="23">
        <f>C213*0.856</f>
        <v>398.04</v>
      </c>
      <c r="E213" s="23">
        <v>0</v>
      </c>
      <c r="F213" s="24">
        <f>SUM(D213+E213)/C213</f>
        <v>0.85600000000000009</v>
      </c>
      <c r="G213" s="4">
        <v>412</v>
      </c>
      <c r="H213" s="2">
        <v>6350</v>
      </c>
      <c r="I213" s="2">
        <v>7418</v>
      </c>
      <c r="J213" s="24">
        <f>SUM(H213/I213)</f>
        <v>0.85602588298732807</v>
      </c>
      <c r="K213" s="23">
        <v>273</v>
      </c>
      <c r="L213" s="10">
        <v>4207</v>
      </c>
      <c r="M213" s="10">
        <v>4915</v>
      </c>
      <c r="N213" s="24">
        <f t="shared" si="89"/>
        <v>0.85595116988809761</v>
      </c>
      <c r="O213" s="5"/>
      <c r="P213" s="5" t="s">
        <v>73</v>
      </c>
      <c r="Q213" s="2" t="s">
        <v>72</v>
      </c>
      <c r="R213" s="2" t="s">
        <v>36</v>
      </c>
      <c r="S213" s="2" t="s">
        <v>36</v>
      </c>
      <c r="T213" s="6" t="s">
        <v>72</v>
      </c>
    </row>
    <row r="214" spans="1:20">
      <c r="A214" s="51" t="s">
        <v>174</v>
      </c>
      <c r="B214" s="1" t="s">
        <v>276</v>
      </c>
      <c r="C214" s="10">
        <v>444</v>
      </c>
      <c r="D214" s="23">
        <f>C214*0.856</f>
        <v>380.06399999999996</v>
      </c>
      <c r="E214" s="23">
        <v>0</v>
      </c>
      <c r="F214" s="24">
        <f t="shared" si="90"/>
        <v>0.85599999999999987</v>
      </c>
      <c r="G214" s="4">
        <v>370</v>
      </c>
      <c r="H214" s="2">
        <v>5705</v>
      </c>
      <c r="I214" s="2">
        <v>6665</v>
      </c>
      <c r="J214" s="24">
        <f t="shared" si="88"/>
        <v>0.85596399099774945</v>
      </c>
      <c r="K214" s="23">
        <v>357</v>
      </c>
      <c r="L214" s="10">
        <v>5502</v>
      </c>
      <c r="M214" s="10">
        <v>6427</v>
      </c>
      <c r="N214" s="24">
        <f t="shared" si="89"/>
        <v>0.85607592967169754</v>
      </c>
      <c r="O214" s="5"/>
      <c r="P214" s="5" t="s">
        <v>73</v>
      </c>
      <c r="Q214" s="2" t="s">
        <v>72</v>
      </c>
      <c r="R214" s="2" t="s">
        <v>36</v>
      </c>
      <c r="S214" s="2" t="s">
        <v>36</v>
      </c>
      <c r="T214" s="6" t="s">
        <v>72</v>
      </c>
    </row>
    <row r="215" spans="1:20">
      <c r="A215" s="51" t="s">
        <v>174</v>
      </c>
      <c r="B215" s="1" t="s">
        <v>277</v>
      </c>
      <c r="C215" s="10">
        <v>584</v>
      </c>
      <c r="D215" s="23">
        <v>96</v>
      </c>
      <c r="E215" s="23">
        <v>5</v>
      </c>
      <c r="F215" s="24">
        <f t="shared" si="90"/>
        <v>0.17294520547945205</v>
      </c>
      <c r="G215" s="4">
        <v>270</v>
      </c>
      <c r="H215" s="2">
        <v>1375</v>
      </c>
      <c r="I215" s="2">
        <v>5131</v>
      </c>
      <c r="J215" s="24">
        <f t="shared" si="88"/>
        <v>0.26797895147144807</v>
      </c>
      <c r="K215" s="23">
        <v>103</v>
      </c>
      <c r="L215" s="10">
        <v>713</v>
      </c>
      <c r="M215" s="10">
        <v>1949</v>
      </c>
      <c r="N215" s="24">
        <f t="shared" si="89"/>
        <v>0.36582863006670086</v>
      </c>
      <c r="O215" s="5"/>
      <c r="P215" s="5" t="s">
        <v>73</v>
      </c>
      <c r="Q215" s="2" t="s">
        <v>72</v>
      </c>
      <c r="R215" s="2" t="s">
        <v>36</v>
      </c>
      <c r="S215" s="2" t="s">
        <v>36</v>
      </c>
      <c r="T215" s="6" t="s">
        <v>36</v>
      </c>
    </row>
    <row r="216" spans="1:20">
      <c r="A216" s="51" t="s">
        <v>174</v>
      </c>
      <c r="B216" s="1" t="s">
        <v>278</v>
      </c>
      <c r="C216" s="10">
        <v>605</v>
      </c>
      <c r="D216" s="23">
        <f>C216*0.848</f>
        <v>513.04</v>
      </c>
      <c r="E216" s="23">
        <v>0</v>
      </c>
      <c r="F216" s="24">
        <f t="shared" si="90"/>
        <v>0.84799999999999998</v>
      </c>
      <c r="G216" s="4">
        <v>517</v>
      </c>
      <c r="H216" s="2">
        <v>7893</v>
      </c>
      <c r="I216" s="2">
        <v>9308</v>
      </c>
      <c r="J216" s="24">
        <f t="shared" si="88"/>
        <v>0.84798023205844431</v>
      </c>
      <c r="K216" s="23">
        <v>430</v>
      </c>
      <c r="L216" s="10">
        <v>6571</v>
      </c>
      <c r="M216" s="10">
        <v>7749</v>
      </c>
      <c r="N216" s="24">
        <f t="shared" si="89"/>
        <v>0.84798038456575042</v>
      </c>
      <c r="O216" s="5"/>
      <c r="P216" s="5" t="s">
        <v>73</v>
      </c>
      <c r="Q216" s="2" t="s">
        <v>72</v>
      </c>
      <c r="R216" s="2" t="s">
        <v>36</v>
      </c>
      <c r="S216" s="2" t="s">
        <v>36</v>
      </c>
      <c r="T216" s="6" t="s">
        <v>72</v>
      </c>
    </row>
    <row r="217" spans="1:20">
      <c r="A217" s="51" t="s">
        <v>174</v>
      </c>
      <c r="B217" s="1" t="s">
        <v>279</v>
      </c>
      <c r="C217" s="10">
        <v>816</v>
      </c>
      <c r="D217" s="23">
        <f>C217*0.848</f>
        <v>691.96799999999996</v>
      </c>
      <c r="E217" s="23">
        <v>0</v>
      </c>
      <c r="F217" s="24">
        <f t="shared" si="90"/>
        <v>0.84799999999999998</v>
      </c>
      <c r="G217" s="4">
        <v>598</v>
      </c>
      <c r="H217" s="2">
        <v>9130</v>
      </c>
      <c r="I217" s="2">
        <v>10766</v>
      </c>
      <c r="J217" s="24">
        <f t="shared" si="88"/>
        <v>0.84804012632361137</v>
      </c>
      <c r="K217" s="23">
        <v>556</v>
      </c>
      <c r="L217" s="10">
        <v>8485</v>
      </c>
      <c r="M217" s="10">
        <v>10006</v>
      </c>
      <c r="N217" s="24">
        <f t="shared" si="89"/>
        <v>0.84799120527683391</v>
      </c>
      <c r="O217" s="5"/>
      <c r="P217" s="5" t="s">
        <v>73</v>
      </c>
      <c r="Q217" s="2" t="s">
        <v>72</v>
      </c>
      <c r="R217" s="2" t="s">
        <v>36</v>
      </c>
      <c r="S217" s="2" t="s">
        <v>36</v>
      </c>
      <c r="T217" s="6" t="s">
        <v>72</v>
      </c>
    </row>
    <row r="218" spans="1:20">
      <c r="A218" s="51" t="s">
        <v>174</v>
      </c>
      <c r="B218" s="1" t="s">
        <v>280</v>
      </c>
      <c r="C218" s="10">
        <v>460</v>
      </c>
      <c r="D218" s="23">
        <f>C218*0.848</f>
        <v>390.08</v>
      </c>
      <c r="E218" s="23">
        <v>0</v>
      </c>
      <c r="F218" s="24">
        <f t="shared" si="90"/>
        <v>0.84799999999999998</v>
      </c>
      <c r="G218" s="4">
        <v>379</v>
      </c>
      <c r="H218" s="2">
        <v>5790</v>
      </c>
      <c r="I218" s="2">
        <v>6828</v>
      </c>
      <c r="J218" s="24">
        <f t="shared" si="88"/>
        <v>0.84797891036906858</v>
      </c>
      <c r="K218" s="23">
        <v>293</v>
      </c>
      <c r="L218" s="10">
        <v>4468</v>
      </c>
      <c r="M218" s="10">
        <v>5269</v>
      </c>
      <c r="N218" s="24">
        <f t="shared" si="89"/>
        <v>0.84797874359461001</v>
      </c>
      <c r="O218" s="5"/>
      <c r="P218" s="5" t="s">
        <v>73</v>
      </c>
      <c r="Q218" s="2" t="s">
        <v>72</v>
      </c>
      <c r="R218" s="2" t="s">
        <v>36</v>
      </c>
      <c r="S218" s="2" t="s">
        <v>36</v>
      </c>
      <c r="T218" s="6" t="s">
        <v>72</v>
      </c>
    </row>
    <row r="219" spans="1:20">
      <c r="A219" s="51" t="s">
        <v>174</v>
      </c>
      <c r="B219" s="1" t="s">
        <v>281</v>
      </c>
      <c r="C219" s="10">
        <v>474</v>
      </c>
      <c r="D219" s="23">
        <f>C219*0.848</f>
        <v>401.952</v>
      </c>
      <c r="E219" s="23">
        <v>0</v>
      </c>
      <c r="F219" s="24">
        <f t="shared" si="90"/>
        <v>0.84799999999999998</v>
      </c>
      <c r="G219" s="4">
        <v>348</v>
      </c>
      <c r="H219" s="2">
        <v>5311</v>
      </c>
      <c r="I219" s="2">
        <v>6263</v>
      </c>
      <c r="J219" s="24">
        <f t="shared" si="88"/>
        <v>0.84799616797062116</v>
      </c>
      <c r="K219" s="23">
        <v>274</v>
      </c>
      <c r="L219" s="10">
        <v>4178</v>
      </c>
      <c r="M219" s="10">
        <v>4927</v>
      </c>
      <c r="N219" s="24">
        <f t="shared" si="89"/>
        <v>0.84798051552668963</v>
      </c>
      <c r="O219" s="5"/>
      <c r="P219" s="5" t="s">
        <v>73</v>
      </c>
      <c r="Q219" s="2" t="s">
        <v>72</v>
      </c>
      <c r="R219" s="2" t="s">
        <v>36</v>
      </c>
      <c r="S219" s="2" t="s">
        <v>36</v>
      </c>
      <c r="T219" s="6" t="s">
        <v>72</v>
      </c>
    </row>
    <row r="220" spans="1:20">
      <c r="A220" s="51" t="s">
        <v>174</v>
      </c>
      <c r="B220" s="1" t="s">
        <v>282</v>
      </c>
      <c r="C220" s="10">
        <v>991</v>
      </c>
      <c r="D220" s="23">
        <v>168</v>
      </c>
      <c r="E220" s="23">
        <v>17</v>
      </c>
      <c r="F220" s="24">
        <f t="shared" si="90"/>
        <v>0.18668012108980828</v>
      </c>
      <c r="G220" s="4">
        <v>504</v>
      </c>
      <c r="H220" s="2">
        <v>2850</v>
      </c>
      <c r="I220" s="2">
        <v>9573</v>
      </c>
      <c r="J220" s="24">
        <f t="shared" si="88"/>
        <v>0.29771231588843622</v>
      </c>
      <c r="K220" s="23">
        <v>85</v>
      </c>
      <c r="L220" s="10">
        <v>822</v>
      </c>
      <c r="M220" s="10">
        <v>1612</v>
      </c>
      <c r="N220" s="24">
        <f t="shared" si="89"/>
        <v>0.50992555831265507</v>
      </c>
      <c r="O220" s="5"/>
      <c r="P220" s="5" t="s">
        <v>73</v>
      </c>
      <c r="Q220" s="2" t="s">
        <v>72</v>
      </c>
      <c r="R220" s="2" t="s">
        <v>36</v>
      </c>
      <c r="S220" s="2" t="s">
        <v>36</v>
      </c>
      <c r="T220" s="6" t="s">
        <v>36</v>
      </c>
    </row>
    <row r="221" spans="1:20">
      <c r="A221" s="51" t="s">
        <v>174</v>
      </c>
      <c r="B221" s="1" t="s">
        <v>283</v>
      </c>
      <c r="C221" s="10">
        <v>453</v>
      </c>
      <c r="D221" s="23">
        <f>C221*0.848</f>
        <v>384.14400000000001</v>
      </c>
      <c r="E221" s="23">
        <v>0</v>
      </c>
      <c r="F221" s="24">
        <f t="shared" si="90"/>
        <v>0.84799999999999998</v>
      </c>
      <c r="G221" s="4">
        <v>356</v>
      </c>
      <c r="H221" s="2">
        <v>5437</v>
      </c>
      <c r="I221" s="2">
        <v>6412</v>
      </c>
      <c r="J221" s="24">
        <f t="shared" si="88"/>
        <v>0.84794135995009356</v>
      </c>
      <c r="K221" s="23">
        <v>268</v>
      </c>
      <c r="L221" s="10">
        <v>4092</v>
      </c>
      <c r="M221" s="10">
        <v>4826</v>
      </c>
      <c r="N221" s="24">
        <f t="shared" si="89"/>
        <v>0.8479071694985495</v>
      </c>
      <c r="O221" s="5"/>
      <c r="P221" s="5" t="s">
        <v>73</v>
      </c>
      <c r="Q221" s="2" t="s">
        <v>72</v>
      </c>
      <c r="R221" s="2" t="s">
        <v>36</v>
      </c>
      <c r="S221" s="2" t="s">
        <v>36</v>
      </c>
      <c r="T221" s="6" t="s">
        <v>72</v>
      </c>
    </row>
    <row r="222" spans="1:20">
      <c r="A222" s="51" t="s">
        <v>174</v>
      </c>
      <c r="B222" s="1" t="s">
        <v>284</v>
      </c>
      <c r="C222" s="10">
        <v>572</v>
      </c>
      <c r="D222" s="23">
        <f>C222*0.848</f>
        <v>485.05599999999998</v>
      </c>
      <c r="E222" s="23">
        <v>0</v>
      </c>
      <c r="F222" s="24">
        <f t="shared" si="90"/>
        <v>0.84799999999999998</v>
      </c>
      <c r="G222" s="4">
        <v>413</v>
      </c>
      <c r="H222" s="2">
        <v>6311</v>
      </c>
      <c r="I222" s="2">
        <v>7442</v>
      </c>
      <c r="J222" s="24">
        <f t="shared" si="88"/>
        <v>0.84802472453641498</v>
      </c>
      <c r="K222" s="23">
        <v>371</v>
      </c>
      <c r="L222" s="10">
        <v>5660</v>
      </c>
      <c r="M222" s="10">
        <v>6675</v>
      </c>
      <c r="N222" s="24">
        <f t="shared" si="89"/>
        <v>0.84794007490636703</v>
      </c>
      <c r="O222" s="5"/>
      <c r="P222" s="5" t="s">
        <v>73</v>
      </c>
      <c r="Q222" s="2" t="s">
        <v>72</v>
      </c>
      <c r="R222" s="2" t="s">
        <v>36</v>
      </c>
      <c r="S222" s="2" t="s">
        <v>36</v>
      </c>
      <c r="T222" s="6" t="s">
        <v>72</v>
      </c>
    </row>
    <row r="223" spans="1:20">
      <c r="A223" s="51" t="s">
        <v>174</v>
      </c>
      <c r="B223" s="1" t="s">
        <v>285</v>
      </c>
      <c r="C223" s="10">
        <v>702</v>
      </c>
      <c r="D223" s="23">
        <v>31</v>
      </c>
      <c r="E223" s="23">
        <v>3</v>
      </c>
      <c r="F223" s="24">
        <f t="shared" si="90"/>
        <v>4.843304843304843E-2</v>
      </c>
      <c r="G223" s="4">
        <v>340</v>
      </c>
      <c r="H223" s="2">
        <v>513</v>
      </c>
      <c r="I223" s="2">
        <v>6462</v>
      </c>
      <c r="J223" s="24">
        <f t="shared" si="88"/>
        <v>7.9387186629526457E-2</v>
      </c>
      <c r="K223" s="23">
        <v>25</v>
      </c>
      <c r="L223" s="10">
        <v>88</v>
      </c>
      <c r="M223" s="10">
        <v>482</v>
      </c>
      <c r="N223" s="24">
        <f t="shared" si="89"/>
        <v>0.18257261410788381</v>
      </c>
      <c r="O223" s="5"/>
      <c r="P223" s="5" t="s">
        <v>73</v>
      </c>
      <c r="Q223" s="2" t="s">
        <v>72</v>
      </c>
      <c r="R223" s="2" t="s">
        <v>36</v>
      </c>
      <c r="S223" s="2" t="s">
        <v>36</v>
      </c>
      <c r="T223" s="6" t="s">
        <v>36</v>
      </c>
    </row>
    <row r="224" spans="1:20">
      <c r="A224" s="51" t="s">
        <v>174</v>
      </c>
      <c r="B224" s="1" t="s">
        <v>286</v>
      </c>
      <c r="C224" s="10">
        <v>617</v>
      </c>
      <c r="D224" s="23">
        <v>114</v>
      </c>
      <c r="E224" s="23">
        <v>3</v>
      </c>
      <c r="F224" s="24">
        <f t="shared" si="90"/>
        <v>0.18962722852512157</v>
      </c>
      <c r="G224" s="4">
        <v>312</v>
      </c>
      <c r="H224" s="2">
        <v>1542</v>
      </c>
      <c r="I224" s="2">
        <v>5923</v>
      </c>
      <c r="J224" s="24">
        <f t="shared" si="88"/>
        <v>0.26034104339017389</v>
      </c>
      <c r="K224" s="23">
        <v>107</v>
      </c>
      <c r="L224" s="10">
        <v>938</v>
      </c>
      <c r="M224" s="10">
        <v>2026</v>
      </c>
      <c r="N224" s="24">
        <f t="shared" si="89"/>
        <v>0.46298124383020728</v>
      </c>
      <c r="O224" s="5"/>
      <c r="P224" s="5" t="s">
        <v>73</v>
      </c>
      <c r="Q224" s="2" t="s">
        <v>72</v>
      </c>
      <c r="R224" s="2" t="s">
        <v>36</v>
      </c>
      <c r="S224" s="2" t="s">
        <v>36</v>
      </c>
      <c r="T224" s="6" t="s">
        <v>36</v>
      </c>
    </row>
    <row r="225" spans="1:20">
      <c r="A225" s="51" t="s">
        <v>174</v>
      </c>
      <c r="B225" s="1" t="s">
        <v>287</v>
      </c>
      <c r="C225" s="10">
        <v>515</v>
      </c>
      <c r="D225" s="23">
        <f>C225*0.848</f>
        <v>436.71999999999997</v>
      </c>
      <c r="E225" s="23">
        <v>0</v>
      </c>
      <c r="F225" s="24">
        <f t="shared" si="90"/>
        <v>0.84799999999999998</v>
      </c>
      <c r="G225" s="4">
        <v>451</v>
      </c>
      <c r="H225" s="2">
        <v>6885</v>
      </c>
      <c r="I225" s="2">
        <v>8119</v>
      </c>
      <c r="J225" s="24">
        <f t="shared" si="88"/>
        <v>0.8480108387732479</v>
      </c>
      <c r="K225" s="23">
        <v>314</v>
      </c>
      <c r="L225" s="10">
        <v>4797</v>
      </c>
      <c r="M225" s="10">
        <v>5657</v>
      </c>
      <c r="N225" s="24">
        <f t="shared" si="89"/>
        <v>0.84797595898886335</v>
      </c>
      <c r="O225" s="5"/>
      <c r="P225" s="5" t="s">
        <v>73</v>
      </c>
      <c r="Q225" s="2" t="s">
        <v>72</v>
      </c>
      <c r="R225" s="2" t="s">
        <v>36</v>
      </c>
      <c r="S225" s="2" t="s">
        <v>36</v>
      </c>
      <c r="T225" s="6" t="s">
        <v>72</v>
      </c>
    </row>
    <row r="226" spans="1:20">
      <c r="A226" s="51" t="s">
        <v>174</v>
      </c>
      <c r="B226" s="1" t="s">
        <v>288</v>
      </c>
      <c r="C226" s="10">
        <v>868</v>
      </c>
      <c r="D226" s="23">
        <f>C226*0.856</f>
        <v>743.00800000000004</v>
      </c>
      <c r="E226" s="23">
        <v>0</v>
      </c>
      <c r="F226" s="24">
        <f t="shared" si="90"/>
        <v>0.85600000000000009</v>
      </c>
      <c r="G226" s="4">
        <v>659</v>
      </c>
      <c r="H226" s="2">
        <v>10156</v>
      </c>
      <c r="I226" s="2">
        <v>11864</v>
      </c>
      <c r="J226" s="24">
        <f t="shared" si="88"/>
        <v>0.85603506405933916</v>
      </c>
      <c r="K226" s="23">
        <v>196</v>
      </c>
      <c r="L226" s="10">
        <v>3021</v>
      </c>
      <c r="M226" s="10">
        <v>3529</v>
      </c>
      <c r="N226" s="24">
        <f t="shared" si="89"/>
        <v>0.85604987248512332</v>
      </c>
      <c r="O226" s="5"/>
      <c r="P226" s="5" t="s">
        <v>73</v>
      </c>
      <c r="Q226" s="2" t="s">
        <v>72</v>
      </c>
      <c r="R226" s="2" t="s">
        <v>36</v>
      </c>
      <c r="S226" s="2" t="s">
        <v>36</v>
      </c>
      <c r="T226" s="7" t="s">
        <v>72</v>
      </c>
    </row>
    <row r="227" spans="1:20">
      <c r="A227" s="51" t="s">
        <v>174</v>
      </c>
      <c r="B227" s="1" t="s">
        <v>289</v>
      </c>
      <c r="C227" s="10">
        <v>781</v>
      </c>
      <c r="D227" s="23">
        <f>C227*0.848</f>
        <v>662.28800000000001</v>
      </c>
      <c r="E227" s="23">
        <v>0</v>
      </c>
      <c r="F227" s="24">
        <f t="shared" si="90"/>
        <v>0.84799999999999998</v>
      </c>
      <c r="G227" s="4">
        <v>584</v>
      </c>
      <c r="H227" s="2">
        <v>8911</v>
      </c>
      <c r="I227" s="2">
        <v>10508</v>
      </c>
      <c r="J227" s="24">
        <f t="shared" si="88"/>
        <v>0.84802055576703461</v>
      </c>
      <c r="K227" s="23">
        <v>341</v>
      </c>
      <c r="L227" s="10">
        <v>5208</v>
      </c>
      <c r="M227" s="10">
        <v>6141</v>
      </c>
      <c r="N227" s="24">
        <f t="shared" si="89"/>
        <v>0.84807034684904736</v>
      </c>
      <c r="O227" s="5"/>
      <c r="P227" s="5" t="s">
        <v>73</v>
      </c>
      <c r="Q227" s="2" t="s">
        <v>72</v>
      </c>
      <c r="R227" s="2" t="s">
        <v>36</v>
      </c>
      <c r="S227" s="2" t="s">
        <v>36</v>
      </c>
      <c r="T227" s="7" t="s">
        <v>73</v>
      </c>
    </row>
    <row r="228" spans="1:20">
      <c r="A228" s="51" t="s">
        <v>174</v>
      </c>
      <c r="B228" s="1" t="s">
        <v>290</v>
      </c>
      <c r="C228" s="10">
        <v>772</v>
      </c>
      <c r="D228" s="23">
        <f>C228*0.848</f>
        <v>654.65599999999995</v>
      </c>
      <c r="E228" s="23">
        <v>0</v>
      </c>
      <c r="F228" s="24">
        <f t="shared" si="90"/>
        <v>0.84799999999999998</v>
      </c>
      <c r="G228" s="4">
        <v>652</v>
      </c>
      <c r="H228" s="2">
        <v>9950</v>
      </c>
      <c r="I228" s="2">
        <v>11733</v>
      </c>
      <c r="J228" s="24">
        <f t="shared" si="88"/>
        <v>0.84803545555271453</v>
      </c>
      <c r="K228" s="23">
        <v>397</v>
      </c>
      <c r="L228" s="10">
        <v>6062</v>
      </c>
      <c r="M228" s="10">
        <v>7149</v>
      </c>
      <c r="N228" s="24">
        <f t="shared" si="89"/>
        <v>0.84795076234438382</v>
      </c>
      <c r="O228" s="5"/>
      <c r="P228" s="5" t="s">
        <v>73</v>
      </c>
      <c r="Q228" s="2" t="s">
        <v>72</v>
      </c>
      <c r="R228" s="2" t="s">
        <v>36</v>
      </c>
      <c r="S228" s="2" t="s">
        <v>36</v>
      </c>
      <c r="T228" s="6" t="s">
        <v>72</v>
      </c>
    </row>
    <row r="229" spans="1:20">
      <c r="A229" s="51" t="s">
        <v>174</v>
      </c>
      <c r="B229" s="1" t="s">
        <v>291</v>
      </c>
      <c r="C229" s="10">
        <v>896</v>
      </c>
      <c r="D229" s="23">
        <v>279</v>
      </c>
      <c r="E229" s="23">
        <v>52</v>
      </c>
      <c r="F229" s="24">
        <f t="shared" si="90"/>
        <v>0.36941964285714285</v>
      </c>
      <c r="G229" s="4">
        <v>652</v>
      </c>
      <c r="H229" s="2">
        <v>4822</v>
      </c>
      <c r="I229" s="2">
        <v>12386</v>
      </c>
      <c r="J229" s="24">
        <f t="shared" si="88"/>
        <v>0.38931051186823834</v>
      </c>
      <c r="K229" s="23">
        <v>137</v>
      </c>
      <c r="L229" s="10">
        <v>1530</v>
      </c>
      <c r="M229" s="10">
        <v>2608</v>
      </c>
      <c r="N229" s="24">
        <f t="shared" si="89"/>
        <v>0.58665644171779141</v>
      </c>
      <c r="O229" s="5"/>
      <c r="P229" s="5" t="s">
        <v>73</v>
      </c>
      <c r="Q229" s="2" t="s">
        <v>36</v>
      </c>
      <c r="R229" s="2" t="s">
        <v>36</v>
      </c>
      <c r="S229" s="2" t="s">
        <v>36</v>
      </c>
      <c r="T229" s="7" t="s">
        <v>36</v>
      </c>
    </row>
    <row r="230" spans="1:20">
      <c r="A230" s="51" t="s">
        <v>174</v>
      </c>
      <c r="B230" s="1" t="s">
        <v>292</v>
      </c>
      <c r="C230" s="10">
        <v>888</v>
      </c>
      <c r="D230" s="23">
        <f>C230*0.848</f>
        <v>753.024</v>
      </c>
      <c r="E230" s="23">
        <v>0</v>
      </c>
      <c r="F230" s="24">
        <f t="shared" si="90"/>
        <v>0.84799999999999998</v>
      </c>
      <c r="G230" s="4">
        <v>560</v>
      </c>
      <c r="H230" s="2">
        <v>8541</v>
      </c>
      <c r="I230" s="2">
        <v>10072</v>
      </c>
      <c r="J230" s="24">
        <f t="shared" si="88"/>
        <v>0.84799444003177127</v>
      </c>
      <c r="K230" s="23">
        <v>310</v>
      </c>
      <c r="L230" s="10">
        <v>4729</v>
      </c>
      <c r="M230" s="10">
        <v>5577</v>
      </c>
      <c r="N230" s="24">
        <f t="shared" si="89"/>
        <v>0.84794692487000178</v>
      </c>
      <c r="O230" s="5"/>
      <c r="P230" s="5" t="s">
        <v>73</v>
      </c>
      <c r="Q230" s="2" t="s">
        <v>72</v>
      </c>
      <c r="R230" s="2" t="s">
        <v>36</v>
      </c>
      <c r="S230" s="2" t="s">
        <v>36</v>
      </c>
      <c r="T230" s="7" t="s">
        <v>72</v>
      </c>
    </row>
    <row r="231" spans="1:20">
      <c r="A231" s="51" t="s">
        <v>174</v>
      </c>
      <c r="B231" s="1" t="s">
        <v>293</v>
      </c>
      <c r="C231" s="10">
        <v>1120</v>
      </c>
      <c r="D231" s="23">
        <f>C231*0.848</f>
        <v>949.76</v>
      </c>
      <c r="E231" s="23">
        <v>0</v>
      </c>
      <c r="F231" s="24">
        <f t="shared" si="90"/>
        <v>0.84799999999999998</v>
      </c>
      <c r="G231" s="4">
        <v>752</v>
      </c>
      <c r="H231" s="2">
        <v>11478</v>
      </c>
      <c r="I231" s="2">
        <v>13535</v>
      </c>
      <c r="J231" s="24">
        <f t="shared" si="88"/>
        <v>0.84802364240857042</v>
      </c>
      <c r="K231" s="23">
        <v>702</v>
      </c>
      <c r="L231" s="10">
        <v>10709</v>
      </c>
      <c r="M231" s="10">
        <v>12628</v>
      </c>
      <c r="N231" s="24">
        <f t="shared" si="89"/>
        <v>0.84803611023123215</v>
      </c>
      <c r="O231" s="5"/>
      <c r="P231" s="5" t="s">
        <v>73</v>
      </c>
      <c r="Q231" s="2" t="s">
        <v>72</v>
      </c>
      <c r="R231" s="2" t="s">
        <v>36</v>
      </c>
      <c r="S231" s="2" t="s">
        <v>36</v>
      </c>
      <c r="T231" s="7" t="s">
        <v>72</v>
      </c>
    </row>
    <row r="232" spans="1:20">
      <c r="A232" s="51" t="s">
        <v>174</v>
      </c>
      <c r="B232" s="1" t="s">
        <v>294</v>
      </c>
      <c r="C232" s="10">
        <v>879</v>
      </c>
      <c r="D232" s="23">
        <f>C232*0.856</f>
        <v>752.42399999999998</v>
      </c>
      <c r="E232" s="23">
        <v>0</v>
      </c>
      <c r="F232" s="24">
        <f t="shared" si="90"/>
        <v>0.85599999999999998</v>
      </c>
      <c r="G232" s="4">
        <v>587</v>
      </c>
      <c r="H232" s="2">
        <v>9039</v>
      </c>
      <c r="I232" s="2">
        <v>10560</v>
      </c>
      <c r="J232" s="24">
        <f t="shared" si="88"/>
        <v>0.85596590909090908</v>
      </c>
      <c r="K232" s="23">
        <v>365</v>
      </c>
      <c r="L232" s="10">
        <v>5626</v>
      </c>
      <c r="M232" s="10">
        <v>6573</v>
      </c>
      <c r="N232" s="24">
        <f t="shared" si="89"/>
        <v>0.85592575688422334</v>
      </c>
      <c r="O232" s="5"/>
      <c r="P232" s="5" t="s">
        <v>73</v>
      </c>
      <c r="Q232" s="2" t="s">
        <v>72</v>
      </c>
      <c r="R232" s="2" t="s">
        <v>36</v>
      </c>
      <c r="S232" s="2" t="s">
        <v>36</v>
      </c>
      <c r="T232" s="7" t="s">
        <v>72</v>
      </c>
    </row>
    <row r="233" spans="1:20">
      <c r="A233" s="51" t="s">
        <v>174</v>
      </c>
      <c r="B233" s="1" t="s">
        <v>295</v>
      </c>
      <c r="C233" s="10">
        <v>973</v>
      </c>
      <c r="D233" s="23">
        <v>100</v>
      </c>
      <c r="E233" s="23">
        <v>26</v>
      </c>
      <c r="F233" s="24">
        <f t="shared" si="90"/>
        <v>0.12949640287769784</v>
      </c>
      <c r="G233" s="4">
        <v>422</v>
      </c>
      <c r="H233" s="2">
        <v>1769</v>
      </c>
      <c r="I233" s="2">
        <v>8014</v>
      </c>
      <c r="J233" s="24">
        <f t="shared" si="88"/>
        <v>0.220738707262291</v>
      </c>
      <c r="K233" s="23">
        <v>59</v>
      </c>
      <c r="L233" s="10">
        <v>461</v>
      </c>
      <c r="M233" s="10">
        <v>1112</v>
      </c>
      <c r="N233" s="24">
        <f t="shared" si="89"/>
        <v>0.41456834532374098</v>
      </c>
      <c r="O233" s="5"/>
      <c r="P233" s="5" t="s">
        <v>73</v>
      </c>
      <c r="Q233" s="2" t="s">
        <v>72</v>
      </c>
      <c r="R233" s="2" t="s">
        <v>36</v>
      </c>
      <c r="S233" s="2" t="s">
        <v>36</v>
      </c>
      <c r="T233" s="7" t="s">
        <v>36</v>
      </c>
    </row>
    <row r="234" spans="1:20">
      <c r="A234" s="51" t="s">
        <v>174</v>
      </c>
      <c r="B234" s="1" t="s">
        <v>296</v>
      </c>
      <c r="C234" s="10">
        <v>917</v>
      </c>
      <c r="D234" s="23">
        <v>52</v>
      </c>
      <c r="E234" s="23">
        <v>9</v>
      </c>
      <c r="F234" s="24">
        <f t="shared" si="90"/>
        <v>6.6521264994547441E-2</v>
      </c>
      <c r="G234" s="4">
        <v>373</v>
      </c>
      <c r="H234" s="2">
        <v>585</v>
      </c>
      <c r="I234" s="2">
        <v>6715</v>
      </c>
      <c r="J234" s="24">
        <f t="shared" si="88"/>
        <v>8.7118391660461647E-2</v>
      </c>
      <c r="K234" s="23">
        <v>30</v>
      </c>
      <c r="L234" s="10">
        <v>210</v>
      </c>
      <c r="M234" s="10">
        <v>546</v>
      </c>
      <c r="N234" s="24">
        <f t="shared" si="89"/>
        <v>0.38461538461538464</v>
      </c>
      <c r="O234" s="5"/>
      <c r="P234" s="5" t="s">
        <v>73</v>
      </c>
      <c r="Q234" s="2" t="s">
        <v>72</v>
      </c>
      <c r="R234" s="2" t="s">
        <v>36</v>
      </c>
      <c r="S234" s="2" t="s">
        <v>36</v>
      </c>
      <c r="T234" s="7" t="s">
        <v>36</v>
      </c>
    </row>
    <row r="235" spans="1:20">
      <c r="A235" s="51" t="s">
        <v>174</v>
      </c>
      <c r="B235" s="1" t="s">
        <v>297</v>
      </c>
      <c r="C235" s="10">
        <v>52</v>
      </c>
      <c r="D235" s="23">
        <f>C235*0.856</f>
        <v>44.512</v>
      </c>
      <c r="E235" s="23">
        <v>0</v>
      </c>
      <c r="F235" s="24">
        <f t="shared" si="90"/>
        <v>0.85599999999999998</v>
      </c>
      <c r="G235" s="4">
        <v>27</v>
      </c>
      <c r="H235" s="2">
        <v>423</v>
      </c>
      <c r="I235" s="2">
        <v>494</v>
      </c>
      <c r="J235" s="24">
        <f t="shared" si="88"/>
        <v>0.85627530364372473</v>
      </c>
      <c r="K235" s="23">
        <v>24</v>
      </c>
      <c r="L235" s="10">
        <v>373</v>
      </c>
      <c r="M235" s="10">
        <v>436</v>
      </c>
      <c r="N235" s="24">
        <f t="shared" si="89"/>
        <v>0.85550458715596334</v>
      </c>
      <c r="O235" s="5" t="s">
        <v>73</v>
      </c>
      <c r="P235" s="5"/>
      <c r="Q235" s="2" t="s">
        <v>72</v>
      </c>
      <c r="R235" s="2" t="s">
        <v>36</v>
      </c>
      <c r="S235" s="2" t="s">
        <v>36</v>
      </c>
      <c r="T235" s="7" t="s">
        <v>72</v>
      </c>
    </row>
    <row r="236" spans="1:20">
      <c r="A236" s="51" t="s">
        <v>175</v>
      </c>
      <c r="B236" s="1" t="s">
        <v>337</v>
      </c>
      <c r="C236" s="2">
        <v>415</v>
      </c>
      <c r="D236" s="2">
        <v>99.32</v>
      </c>
      <c r="E236" s="23">
        <v>0</v>
      </c>
      <c r="F236" s="5">
        <v>0.99319999999999997</v>
      </c>
      <c r="G236" s="4">
        <v>327</v>
      </c>
      <c r="H236" s="2">
        <v>6494</v>
      </c>
      <c r="I236" s="2">
        <v>6540</v>
      </c>
      <c r="J236" s="3">
        <v>0.99</v>
      </c>
      <c r="K236" s="4">
        <v>329</v>
      </c>
      <c r="L236" s="2">
        <v>6531</v>
      </c>
      <c r="M236" s="2">
        <v>6577</v>
      </c>
      <c r="N236" s="5">
        <v>0.99299999999999999</v>
      </c>
      <c r="O236" s="5"/>
      <c r="P236" s="5" t="s">
        <v>73</v>
      </c>
      <c r="Q236" s="2" t="s">
        <v>36</v>
      </c>
      <c r="R236" s="2" t="s">
        <v>36</v>
      </c>
      <c r="S236" s="2" t="s">
        <v>36</v>
      </c>
      <c r="T236" s="2" t="s">
        <v>73</v>
      </c>
    </row>
    <row r="237" spans="1:20">
      <c r="A237" s="51" t="s">
        <v>175</v>
      </c>
      <c r="B237" s="1" t="s">
        <v>39</v>
      </c>
      <c r="C237" s="2">
        <v>454</v>
      </c>
      <c r="D237" s="2">
        <v>99.32</v>
      </c>
      <c r="E237" s="23">
        <v>0</v>
      </c>
      <c r="F237" s="5">
        <v>0.99319999999999997</v>
      </c>
      <c r="G237" s="4">
        <v>383</v>
      </c>
      <c r="H237" s="2">
        <v>7605</v>
      </c>
      <c r="I237" s="2">
        <v>7657</v>
      </c>
      <c r="J237" s="3">
        <v>0.99</v>
      </c>
      <c r="K237" s="4">
        <v>324</v>
      </c>
      <c r="L237" s="2">
        <v>6429</v>
      </c>
      <c r="M237" s="2">
        <v>6474</v>
      </c>
      <c r="N237" s="5">
        <v>0.99299999999999999</v>
      </c>
      <c r="O237" s="5"/>
      <c r="P237" s="5" t="s">
        <v>73</v>
      </c>
      <c r="Q237" s="2" t="s">
        <v>36</v>
      </c>
      <c r="R237" s="2" t="s">
        <v>36</v>
      </c>
      <c r="S237" s="2" t="s">
        <v>36</v>
      </c>
      <c r="T237" s="5" t="s">
        <v>73</v>
      </c>
    </row>
    <row r="238" spans="1:20">
      <c r="A238" s="51" t="s">
        <v>175</v>
      </c>
      <c r="B238" s="1" t="s">
        <v>338</v>
      </c>
      <c r="C238" s="2">
        <v>487</v>
      </c>
      <c r="D238" s="2">
        <v>99.32</v>
      </c>
      <c r="E238" s="23">
        <v>0</v>
      </c>
      <c r="F238" s="5">
        <v>0.99319999999999997</v>
      </c>
      <c r="G238" s="4">
        <v>404</v>
      </c>
      <c r="H238" s="2">
        <v>8016</v>
      </c>
      <c r="I238" s="2">
        <v>8073</v>
      </c>
      <c r="J238" s="3">
        <v>0.99</v>
      </c>
      <c r="K238" s="4">
        <v>417</v>
      </c>
      <c r="L238" s="2">
        <v>8289</v>
      </c>
      <c r="M238" s="2">
        <v>8347</v>
      </c>
      <c r="N238" s="5">
        <v>0.99309999999999998</v>
      </c>
      <c r="O238" s="5" t="s">
        <v>73</v>
      </c>
      <c r="P238" s="5"/>
      <c r="Q238" s="2" t="s">
        <v>36</v>
      </c>
      <c r="R238" s="2" t="s">
        <v>36</v>
      </c>
      <c r="S238" s="2" t="s">
        <v>36</v>
      </c>
      <c r="T238" s="5" t="s">
        <v>73</v>
      </c>
    </row>
    <row r="239" spans="1:20">
      <c r="A239" s="51" t="s">
        <v>175</v>
      </c>
      <c r="B239" s="1" t="s">
        <v>339</v>
      </c>
      <c r="C239" s="2">
        <v>461</v>
      </c>
      <c r="D239" s="2">
        <v>99.32</v>
      </c>
      <c r="E239" s="23">
        <v>0</v>
      </c>
      <c r="F239" s="5">
        <v>0.99319999999999997</v>
      </c>
      <c r="G239" s="4">
        <v>403</v>
      </c>
      <c r="H239" s="2">
        <v>8019</v>
      </c>
      <c r="I239" s="2">
        <v>8076</v>
      </c>
      <c r="J239" s="3">
        <v>0.99</v>
      </c>
      <c r="K239" s="4">
        <v>368</v>
      </c>
      <c r="L239" s="2">
        <v>7311</v>
      </c>
      <c r="M239" s="2">
        <v>7363</v>
      </c>
      <c r="N239" s="5">
        <v>0.9929</v>
      </c>
      <c r="O239" s="5" t="s">
        <v>73</v>
      </c>
      <c r="P239" s="5"/>
      <c r="Q239" s="2" t="s">
        <v>36</v>
      </c>
      <c r="R239" s="2" t="s">
        <v>36</v>
      </c>
      <c r="S239" s="2" t="s">
        <v>36</v>
      </c>
      <c r="T239" s="5" t="s">
        <v>73</v>
      </c>
    </row>
    <row r="240" spans="1:20">
      <c r="A240" s="51" t="s">
        <v>175</v>
      </c>
      <c r="B240" s="1" t="s">
        <v>340</v>
      </c>
      <c r="C240" s="2">
        <v>814</v>
      </c>
      <c r="D240" s="2">
        <v>99.32</v>
      </c>
      <c r="E240" s="23">
        <v>0</v>
      </c>
      <c r="F240" s="5">
        <v>0.99319999999999997</v>
      </c>
      <c r="G240" s="4">
        <v>720</v>
      </c>
      <c r="H240" s="2">
        <v>14291</v>
      </c>
      <c r="I240" s="2">
        <v>14392</v>
      </c>
      <c r="J240" s="3">
        <v>0.99</v>
      </c>
      <c r="K240" s="4">
        <v>535</v>
      </c>
      <c r="L240" s="2">
        <v>10621</v>
      </c>
      <c r="M240" s="2">
        <v>10696</v>
      </c>
      <c r="N240" s="5">
        <v>0.99299999999999999</v>
      </c>
      <c r="O240" s="5"/>
      <c r="P240" s="5" t="s">
        <v>73</v>
      </c>
      <c r="Q240" s="2" t="s">
        <v>36</v>
      </c>
      <c r="R240" s="2" t="s">
        <v>36</v>
      </c>
      <c r="S240" s="2" t="s">
        <v>36</v>
      </c>
      <c r="T240" s="5" t="s">
        <v>73</v>
      </c>
    </row>
    <row r="241" spans="1:20">
      <c r="A241" s="51" t="s">
        <v>175</v>
      </c>
      <c r="B241" s="1" t="s">
        <v>341</v>
      </c>
      <c r="C241" s="2">
        <v>890</v>
      </c>
      <c r="D241" s="2">
        <v>99.32</v>
      </c>
      <c r="E241" s="23">
        <v>0</v>
      </c>
      <c r="F241" s="5">
        <v>0.99319999999999997</v>
      </c>
      <c r="G241" s="4">
        <v>695</v>
      </c>
      <c r="H241" s="2">
        <v>13803</v>
      </c>
      <c r="I241" s="2">
        <v>13900</v>
      </c>
      <c r="J241" s="3">
        <v>0.99</v>
      </c>
      <c r="K241" s="4">
        <v>665</v>
      </c>
      <c r="L241" s="2">
        <v>13198</v>
      </c>
      <c r="M241" s="2">
        <v>13291</v>
      </c>
      <c r="N241" s="5">
        <v>0.99299999999999999</v>
      </c>
      <c r="O241" s="5" t="s">
        <v>73</v>
      </c>
      <c r="P241" s="5"/>
      <c r="Q241" s="2" t="s">
        <v>36</v>
      </c>
      <c r="R241" s="2" t="s">
        <v>36</v>
      </c>
      <c r="S241" s="2" t="s">
        <v>36</v>
      </c>
      <c r="T241" s="5" t="s">
        <v>73</v>
      </c>
    </row>
    <row r="242" spans="1:20">
      <c r="A242" s="51" t="s">
        <v>176</v>
      </c>
      <c r="B242" s="1" t="s">
        <v>298</v>
      </c>
      <c r="C242" s="2">
        <v>1</v>
      </c>
      <c r="D242" s="2">
        <v>1</v>
      </c>
      <c r="E242" s="2">
        <v>0</v>
      </c>
      <c r="F242" s="5">
        <f t="shared" ref="F242:F244" si="91">SUM(D242+E242)/C242</f>
        <v>1</v>
      </c>
      <c r="G242" s="4">
        <v>1</v>
      </c>
      <c r="H242" s="2">
        <v>21</v>
      </c>
      <c r="I242" s="2">
        <v>11</v>
      </c>
      <c r="J242" s="3">
        <v>0</v>
      </c>
      <c r="K242" s="4" t="s">
        <v>36</v>
      </c>
      <c r="L242" s="2" t="s">
        <v>36</v>
      </c>
      <c r="M242" s="2"/>
      <c r="N242" s="5">
        <v>0</v>
      </c>
      <c r="O242" s="5" t="s">
        <v>36</v>
      </c>
      <c r="P242" s="5" t="s">
        <v>36</v>
      </c>
      <c r="Q242" s="2" t="s">
        <v>36</v>
      </c>
      <c r="R242" s="2" t="s">
        <v>36</v>
      </c>
      <c r="S242" s="2" t="s">
        <v>36</v>
      </c>
      <c r="T242" s="6" t="s">
        <v>36</v>
      </c>
    </row>
    <row r="243" spans="1:20">
      <c r="A243" s="51" t="s">
        <v>176</v>
      </c>
      <c r="B243" s="1" t="s">
        <v>299</v>
      </c>
      <c r="C243" s="2">
        <v>4</v>
      </c>
      <c r="D243" s="2">
        <v>4</v>
      </c>
      <c r="E243" s="2">
        <v>0</v>
      </c>
      <c r="F243" s="5">
        <f t="shared" si="91"/>
        <v>1</v>
      </c>
      <c r="G243" s="4">
        <v>4</v>
      </c>
      <c r="H243" s="2">
        <v>84</v>
      </c>
      <c r="I243" s="2">
        <v>84</v>
      </c>
      <c r="J243" s="3">
        <f t="shared" ref="J243:J244" si="92">SUM(H243/I243)</f>
        <v>1</v>
      </c>
      <c r="K243" s="4">
        <v>4</v>
      </c>
      <c r="L243" s="2">
        <v>84</v>
      </c>
      <c r="M243" s="2">
        <v>84</v>
      </c>
      <c r="N243" s="5">
        <f t="shared" ref="N243:N244" si="93">SUM(L243/M243)</f>
        <v>1</v>
      </c>
      <c r="O243" s="5" t="s">
        <v>36</v>
      </c>
      <c r="P243" s="5" t="s">
        <v>36</v>
      </c>
      <c r="Q243" s="2" t="s">
        <v>36</v>
      </c>
      <c r="R243" s="2" t="s">
        <v>36</v>
      </c>
      <c r="S243" s="2" t="s">
        <v>36</v>
      </c>
      <c r="T243" s="6" t="s">
        <v>36</v>
      </c>
    </row>
    <row r="244" spans="1:20">
      <c r="A244" s="51" t="s">
        <v>176</v>
      </c>
      <c r="B244" s="1" t="s">
        <v>300</v>
      </c>
      <c r="C244" s="2">
        <v>8</v>
      </c>
      <c r="D244" s="2">
        <v>8</v>
      </c>
      <c r="E244" s="2">
        <v>0</v>
      </c>
      <c r="F244" s="5">
        <f t="shared" si="91"/>
        <v>1</v>
      </c>
      <c r="G244" s="4">
        <v>8</v>
      </c>
      <c r="H244" s="2">
        <v>168</v>
      </c>
      <c r="I244" s="2">
        <v>168</v>
      </c>
      <c r="J244" s="3">
        <f t="shared" si="92"/>
        <v>1</v>
      </c>
      <c r="K244" s="4">
        <v>8</v>
      </c>
      <c r="L244" s="2">
        <v>168</v>
      </c>
      <c r="M244" s="2">
        <v>168</v>
      </c>
      <c r="N244" s="5">
        <f t="shared" si="93"/>
        <v>1</v>
      </c>
      <c r="O244" s="5" t="s">
        <v>36</v>
      </c>
      <c r="P244" s="5" t="s">
        <v>36</v>
      </c>
      <c r="Q244" s="2" t="s">
        <v>36</v>
      </c>
      <c r="R244" s="2" t="s">
        <v>36</v>
      </c>
      <c r="S244" s="2" t="s">
        <v>36</v>
      </c>
      <c r="T244" s="6" t="s">
        <v>36</v>
      </c>
    </row>
    <row r="245" spans="1:20">
      <c r="A245" s="51" t="s">
        <v>177</v>
      </c>
      <c r="B245" s="1" t="s">
        <v>301</v>
      </c>
      <c r="C245" s="2">
        <v>1445</v>
      </c>
      <c r="D245" s="2">
        <v>480</v>
      </c>
      <c r="E245" s="2">
        <v>84</v>
      </c>
      <c r="F245" s="5">
        <f t="shared" ref="F245:F252" si="94">SUM(D245+E245)/C245</f>
        <v>0.39031141868512109</v>
      </c>
      <c r="G245" s="4">
        <v>1058</v>
      </c>
      <c r="H245" s="2">
        <v>9360</v>
      </c>
      <c r="I245" s="2">
        <v>21154</v>
      </c>
      <c r="J245" s="3">
        <f>SUM(H245/I245)</f>
        <v>0.44246950931265955</v>
      </c>
      <c r="K245" s="4">
        <v>171</v>
      </c>
      <c r="L245" s="2">
        <v>2269</v>
      </c>
      <c r="M245" s="2">
        <v>3423</v>
      </c>
      <c r="N245" s="5">
        <f>SUM(L245/M245)</f>
        <v>0.66286882851300033</v>
      </c>
      <c r="O245" s="5"/>
      <c r="P245" s="5"/>
      <c r="Q245" s="2"/>
      <c r="R245" s="2"/>
      <c r="S245" s="2"/>
      <c r="T245" s="6"/>
    </row>
    <row r="246" spans="1:20">
      <c r="A246" s="51" t="s">
        <v>177</v>
      </c>
      <c r="B246" s="1" t="s">
        <v>302</v>
      </c>
      <c r="C246" s="2">
        <v>920</v>
      </c>
      <c r="D246" s="2">
        <v>306</v>
      </c>
      <c r="E246" s="2">
        <v>61</v>
      </c>
      <c r="F246" s="5">
        <f t="shared" si="94"/>
        <v>0.39891304347826084</v>
      </c>
      <c r="G246" s="4">
        <v>776</v>
      </c>
      <c r="H246" s="2">
        <v>7438</v>
      </c>
      <c r="I246" s="2">
        <v>15526</v>
      </c>
      <c r="J246" s="3">
        <f t="shared" ref="J246:J252" si="95">SUM(H246/I246)</f>
        <v>0.47906737086178025</v>
      </c>
      <c r="K246" s="4">
        <v>153</v>
      </c>
      <c r="L246" s="2">
        <v>2021</v>
      </c>
      <c r="M246" s="2">
        <v>3061</v>
      </c>
      <c r="N246" s="5">
        <f t="shared" ref="N246:N252" si="96">SUM(L246/M246)</f>
        <v>0.66024175106174454</v>
      </c>
      <c r="O246" s="5"/>
      <c r="P246" s="5"/>
      <c r="Q246" s="2"/>
      <c r="R246" s="2"/>
      <c r="S246" s="2"/>
      <c r="T246" s="7"/>
    </row>
    <row r="247" spans="1:20">
      <c r="A247" s="51" t="s">
        <v>177</v>
      </c>
      <c r="B247" s="1" t="s">
        <v>303</v>
      </c>
      <c r="C247" s="2">
        <v>403</v>
      </c>
      <c r="D247" s="2">
        <v>262</v>
      </c>
      <c r="E247" s="2">
        <v>0</v>
      </c>
      <c r="F247" s="5">
        <f t="shared" si="94"/>
        <v>0.65012406947890822</v>
      </c>
      <c r="G247" s="4">
        <v>353</v>
      </c>
      <c r="H247" s="2">
        <v>4588</v>
      </c>
      <c r="I247" s="2">
        <v>7069</v>
      </c>
      <c r="J247" s="3">
        <f t="shared" si="95"/>
        <v>0.64903098033668127</v>
      </c>
      <c r="K247" s="4">
        <v>145</v>
      </c>
      <c r="L247" s="2">
        <v>2893</v>
      </c>
      <c r="M247" s="2">
        <v>2893</v>
      </c>
      <c r="N247" s="5">
        <f t="shared" si="96"/>
        <v>1</v>
      </c>
      <c r="O247" s="5"/>
      <c r="P247" s="5"/>
      <c r="Q247" s="2"/>
      <c r="R247" s="2"/>
      <c r="S247" s="2"/>
      <c r="T247" s="7" t="s">
        <v>73</v>
      </c>
    </row>
    <row r="248" spans="1:20">
      <c r="A248" s="51" t="s">
        <v>177</v>
      </c>
      <c r="B248" s="1" t="s">
        <v>304</v>
      </c>
      <c r="C248" s="2">
        <v>494</v>
      </c>
      <c r="D248" s="2">
        <v>153</v>
      </c>
      <c r="E248" s="2">
        <v>31</v>
      </c>
      <c r="F248" s="5">
        <f t="shared" si="94"/>
        <v>0.37246963562753038</v>
      </c>
      <c r="G248" s="4">
        <v>387</v>
      </c>
      <c r="H248" s="2">
        <v>3341</v>
      </c>
      <c r="I248" s="2">
        <v>7736</v>
      </c>
      <c r="J248" s="3">
        <f t="shared" si="95"/>
        <v>0.43187693898655638</v>
      </c>
      <c r="K248" s="4">
        <v>100</v>
      </c>
      <c r="L248" s="2">
        <v>1055</v>
      </c>
      <c r="M248" s="2">
        <v>2009</v>
      </c>
      <c r="N248" s="5">
        <f t="shared" si="96"/>
        <v>0.5251368840219014</v>
      </c>
      <c r="O248" s="5"/>
      <c r="P248" s="5"/>
      <c r="Q248" s="2"/>
      <c r="R248" s="2"/>
      <c r="S248" s="2"/>
      <c r="T248" s="7"/>
    </row>
    <row r="249" spans="1:20">
      <c r="A249" s="51" t="s">
        <v>177</v>
      </c>
      <c r="B249" s="1" t="s">
        <v>305</v>
      </c>
      <c r="C249" s="2">
        <v>439</v>
      </c>
      <c r="D249" s="2">
        <v>285</v>
      </c>
      <c r="E249" s="2">
        <v>0</v>
      </c>
      <c r="F249" s="5">
        <f t="shared" si="94"/>
        <v>0.64920273348519364</v>
      </c>
      <c r="G249" s="4">
        <v>379</v>
      </c>
      <c r="H249" s="2">
        <v>4925</v>
      </c>
      <c r="I249" s="2">
        <v>7588</v>
      </c>
      <c r="J249" s="3">
        <f t="shared" si="95"/>
        <v>0.64905113336847653</v>
      </c>
      <c r="K249" s="4">
        <v>225</v>
      </c>
      <c r="L249" s="2">
        <v>4509</v>
      </c>
      <c r="M249" s="2">
        <v>4509</v>
      </c>
      <c r="N249" s="5">
        <f t="shared" si="96"/>
        <v>1</v>
      </c>
      <c r="O249" s="5"/>
      <c r="P249" s="5" t="s">
        <v>73</v>
      </c>
      <c r="Q249" s="2"/>
      <c r="R249" s="2"/>
      <c r="S249" s="2"/>
      <c r="T249" s="7" t="s">
        <v>73</v>
      </c>
    </row>
    <row r="250" spans="1:20">
      <c r="A250" s="51" t="s">
        <v>177</v>
      </c>
      <c r="B250" s="1" t="s">
        <v>306</v>
      </c>
      <c r="C250" s="2">
        <v>582</v>
      </c>
      <c r="D250" s="2">
        <v>378</v>
      </c>
      <c r="E250" s="2">
        <v>0</v>
      </c>
      <c r="F250" s="5">
        <f t="shared" si="94"/>
        <v>0.64948453608247425</v>
      </c>
      <c r="G250" s="4">
        <v>449</v>
      </c>
      <c r="H250" s="2">
        <v>5825</v>
      </c>
      <c r="I250" s="2">
        <v>8976</v>
      </c>
      <c r="J250" s="3">
        <f t="shared" si="95"/>
        <v>0.64895276292335113</v>
      </c>
      <c r="K250" s="4">
        <v>194</v>
      </c>
      <c r="L250" s="2">
        <v>3885</v>
      </c>
      <c r="M250" s="2">
        <v>3885</v>
      </c>
      <c r="N250" s="5">
        <f t="shared" si="96"/>
        <v>1</v>
      </c>
      <c r="O250" s="5"/>
      <c r="P250" s="5"/>
      <c r="Q250" s="2"/>
      <c r="R250" s="2"/>
      <c r="S250" s="2"/>
      <c r="T250" s="7" t="s">
        <v>73</v>
      </c>
    </row>
    <row r="251" spans="1:20">
      <c r="A251" s="51" t="s">
        <v>177</v>
      </c>
      <c r="B251" s="1" t="s">
        <v>307</v>
      </c>
      <c r="C251" s="2">
        <v>453</v>
      </c>
      <c r="D251" s="2">
        <v>151</v>
      </c>
      <c r="E251" s="2">
        <v>21</v>
      </c>
      <c r="F251" s="5">
        <f t="shared" si="94"/>
        <v>0.37969094922737306</v>
      </c>
      <c r="G251" s="4">
        <v>308</v>
      </c>
      <c r="H251" s="2">
        <v>2814</v>
      </c>
      <c r="I251" s="2">
        <v>6166</v>
      </c>
      <c r="J251" s="3">
        <f t="shared" si="95"/>
        <v>0.45637366201751539</v>
      </c>
      <c r="K251" s="4">
        <v>90</v>
      </c>
      <c r="L251" s="2">
        <v>995</v>
      </c>
      <c r="M251" s="2">
        <v>1808</v>
      </c>
      <c r="N251" s="5">
        <f t="shared" si="96"/>
        <v>0.55033185840707965</v>
      </c>
      <c r="O251" s="5"/>
      <c r="P251" s="5"/>
      <c r="Q251" s="2"/>
      <c r="R251" s="2"/>
      <c r="S251" s="2"/>
      <c r="T251" s="7"/>
    </row>
    <row r="252" spans="1:20">
      <c r="A252" s="51" t="s">
        <v>177</v>
      </c>
      <c r="B252" s="1" t="s">
        <v>308</v>
      </c>
      <c r="C252" s="2">
        <v>586</v>
      </c>
      <c r="D252" s="2">
        <v>195</v>
      </c>
      <c r="E252" s="2">
        <v>35</v>
      </c>
      <c r="F252" s="5">
        <f t="shared" si="94"/>
        <v>0.39249146757679182</v>
      </c>
      <c r="G252" s="4">
        <v>432</v>
      </c>
      <c r="H252" s="2">
        <v>4121</v>
      </c>
      <c r="I252" s="2">
        <v>8636</v>
      </c>
      <c r="J252" s="3">
        <f t="shared" si="95"/>
        <v>0.47718851320055583</v>
      </c>
      <c r="K252" s="4">
        <v>148</v>
      </c>
      <c r="L252" s="2">
        <v>1676</v>
      </c>
      <c r="M252" s="2">
        <v>2954</v>
      </c>
      <c r="N252" s="5">
        <f t="shared" si="96"/>
        <v>0.56736628300609349</v>
      </c>
      <c r="O252" s="5"/>
      <c r="P252" s="5"/>
      <c r="Q252" s="2"/>
      <c r="R252" s="2"/>
      <c r="S252" s="2"/>
      <c r="T252" s="7"/>
    </row>
    <row r="253" spans="1:20">
      <c r="A253" s="50" t="s">
        <v>178</v>
      </c>
      <c r="B253" s="1" t="s">
        <v>178</v>
      </c>
      <c r="C253" s="2">
        <v>687</v>
      </c>
      <c r="D253" s="2">
        <v>101</v>
      </c>
      <c r="E253" s="2">
        <v>20</v>
      </c>
      <c r="F253" s="5">
        <f t="shared" ref="F253" si="97">SUM(D253+E253)/C253</f>
        <v>0.17612809315866085</v>
      </c>
      <c r="G253" s="4">
        <v>63.75</v>
      </c>
      <c r="H253" s="2">
        <v>737</v>
      </c>
      <c r="I253" s="2">
        <v>1275</v>
      </c>
      <c r="J253" s="3">
        <f>SUM(H253/I253)</f>
        <v>0.57803921568627448</v>
      </c>
      <c r="K253" s="4">
        <v>0.95</v>
      </c>
      <c r="L253" s="2">
        <v>0</v>
      </c>
      <c r="M253" s="2">
        <v>19</v>
      </c>
      <c r="N253" s="5">
        <f>SUM(L253/M253)</f>
        <v>0</v>
      </c>
      <c r="O253" s="5"/>
      <c r="P253" s="5"/>
      <c r="Q253" s="2" t="s">
        <v>36</v>
      </c>
      <c r="R253" s="2" t="s">
        <v>36</v>
      </c>
      <c r="S253" s="2" t="s">
        <v>36</v>
      </c>
      <c r="T253" s="6" t="s">
        <v>36</v>
      </c>
    </row>
    <row r="254" spans="1:20">
      <c r="A254" s="50" t="s">
        <v>179</v>
      </c>
      <c r="B254" s="1" t="s">
        <v>309</v>
      </c>
      <c r="C254" s="2">
        <v>1351</v>
      </c>
      <c r="D254" s="2">
        <v>311</v>
      </c>
      <c r="E254" s="2">
        <v>52</v>
      </c>
      <c r="F254" s="5">
        <f t="shared" ref="F254" si="98">SUM(D254+E254)/C254</f>
        <v>0.26868985936343448</v>
      </c>
      <c r="G254" s="4">
        <v>742</v>
      </c>
      <c r="H254" s="2">
        <v>5535</v>
      </c>
      <c r="I254" s="2">
        <v>14832</v>
      </c>
      <c r="J254" s="3">
        <f>SUM(H254/I254)</f>
        <v>0.37317961165048541</v>
      </c>
      <c r="K254" s="4">
        <v>167</v>
      </c>
      <c r="L254" s="2">
        <v>2329</v>
      </c>
      <c r="M254" s="2">
        <v>3336</v>
      </c>
      <c r="N254" s="5">
        <f>SUM(L254/M254)</f>
        <v>0.69814148681055155</v>
      </c>
      <c r="O254" s="5"/>
      <c r="P254" s="5"/>
      <c r="Q254" s="2" t="s">
        <v>36</v>
      </c>
      <c r="R254" s="2" t="s">
        <v>36</v>
      </c>
      <c r="S254" s="2" t="s">
        <v>36</v>
      </c>
      <c r="T254" s="6" t="s">
        <v>36</v>
      </c>
    </row>
    <row r="255" spans="1:20">
      <c r="A255" s="50" t="s">
        <v>180</v>
      </c>
      <c r="B255" s="1" t="s">
        <v>310</v>
      </c>
      <c r="C255" s="2">
        <v>150</v>
      </c>
      <c r="D255" s="2">
        <v>120</v>
      </c>
      <c r="E255" s="2">
        <v>0</v>
      </c>
      <c r="F255" s="5">
        <f>SUM(D255+E255)/C255</f>
        <v>0.8</v>
      </c>
      <c r="G255" s="4">
        <v>136</v>
      </c>
      <c r="H255" s="8">
        <v>2277</v>
      </c>
      <c r="I255" s="8">
        <v>2846</v>
      </c>
      <c r="J255" s="3">
        <f>SUM(H255/I255)</f>
        <v>0.80007027406886855</v>
      </c>
      <c r="K255" s="4">
        <v>70</v>
      </c>
      <c r="L255" s="8">
        <v>1173</v>
      </c>
      <c r="M255" s="8">
        <v>1466</v>
      </c>
      <c r="N255" s="5">
        <f>SUM(L255/M255)</f>
        <v>0.80013642564802179</v>
      </c>
      <c r="O255" s="5"/>
      <c r="P255" s="5"/>
      <c r="Q255" s="8">
        <v>2327</v>
      </c>
      <c r="R255" s="2" t="s">
        <v>36</v>
      </c>
      <c r="S255" s="2" t="s">
        <v>36</v>
      </c>
      <c r="T255" s="6" t="s">
        <v>36</v>
      </c>
    </row>
    <row r="256" spans="1:20">
      <c r="A256" s="50" t="s">
        <v>181</v>
      </c>
      <c r="B256" s="1" t="s">
        <v>311</v>
      </c>
      <c r="C256" s="2">
        <v>20</v>
      </c>
      <c r="D256" s="2">
        <v>20</v>
      </c>
      <c r="E256" s="2">
        <v>0</v>
      </c>
      <c r="F256" s="5">
        <f t="shared" ref="F256" si="99">SUM(D256+E256)/C256</f>
        <v>1</v>
      </c>
      <c r="G256" s="4">
        <v>16</v>
      </c>
      <c r="H256" s="2">
        <v>482</v>
      </c>
      <c r="I256" s="2">
        <v>482</v>
      </c>
      <c r="J256" s="3">
        <f>SUM(H256/I256)</f>
        <v>1</v>
      </c>
      <c r="K256" s="4">
        <v>13</v>
      </c>
      <c r="L256" s="2">
        <v>415</v>
      </c>
      <c r="M256" s="2">
        <v>415</v>
      </c>
      <c r="N256" s="5">
        <f>SUM(L256/M256)</f>
        <v>1</v>
      </c>
      <c r="O256" s="5"/>
      <c r="P256" s="5"/>
      <c r="Q256" s="2" t="s">
        <v>72</v>
      </c>
      <c r="R256" s="2" t="s">
        <v>36</v>
      </c>
      <c r="S256" s="2" t="s">
        <v>36</v>
      </c>
      <c r="T256" s="6" t="s">
        <v>36</v>
      </c>
    </row>
    <row r="257" spans="1:20">
      <c r="A257" s="50" t="s">
        <v>182</v>
      </c>
      <c r="B257" s="1" t="s">
        <v>312</v>
      </c>
      <c r="C257" s="2">
        <v>738</v>
      </c>
      <c r="D257" s="2">
        <v>738</v>
      </c>
      <c r="E257" s="2">
        <v>0</v>
      </c>
      <c r="F257" s="5">
        <f t="shared" ref="F257" si="100">SUM(D257+E257)/C257</f>
        <v>1</v>
      </c>
      <c r="G257" s="4">
        <v>647</v>
      </c>
      <c r="H257" s="2">
        <v>12948</v>
      </c>
      <c r="I257" s="2">
        <v>12948</v>
      </c>
      <c r="J257" s="3">
        <f t="shared" ref="J257" si="101">SUM(H257/I257)</f>
        <v>1</v>
      </c>
      <c r="K257" s="4">
        <v>533.35</v>
      </c>
      <c r="L257" s="2">
        <v>10667</v>
      </c>
      <c r="M257" s="2">
        <v>10667</v>
      </c>
      <c r="N257" s="5">
        <f t="shared" ref="N257" si="102">SUM(L257/M257)</f>
        <v>1</v>
      </c>
      <c r="O257" s="5" t="s">
        <v>73</v>
      </c>
      <c r="P257" s="5"/>
      <c r="Q257" s="2"/>
      <c r="R257" s="2"/>
      <c r="S257" s="2"/>
      <c r="T257" s="7"/>
    </row>
    <row r="258" spans="1:20">
      <c r="A258" s="51" t="s">
        <v>183</v>
      </c>
      <c r="B258" s="1" t="s">
        <v>313</v>
      </c>
      <c r="C258" s="2">
        <v>653</v>
      </c>
      <c r="D258" s="2">
        <v>575</v>
      </c>
      <c r="E258" s="2">
        <v>0</v>
      </c>
      <c r="F258" s="5">
        <v>0.88060000000000005</v>
      </c>
      <c r="G258" s="4">
        <v>479</v>
      </c>
      <c r="H258" s="2">
        <v>8435</v>
      </c>
      <c r="I258" s="2">
        <v>9574</v>
      </c>
      <c r="J258" s="3">
        <v>0.88</v>
      </c>
      <c r="K258" s="4">
        <v>372</v>
      </c>
      <c r="L258" s="2">
        <v>6556</v>
      </c>
      <c r="M258" s="2">
        <v>7441</v>
      </c>
      <c r="N258" s="5">
        <v>0.88109999999999999</v>
      </c>
      <c r="O258" s="5"/>
      <c r="P258" s="5"/>
      <c r="Q258" s="2"/>
      <c r="R258" s="2"/>
      <c r="S258" s="2"/>
      <c r="T258" s="6"/>
    </row>
    <row r="259" spans="1:20">
      <c r="A259" s="51" t="s">
        <v>183</v>
      </c>
      <c r="B259" s="1" t="s">
        <v>343</v>
      </c>
      <c r="C259" s="2">
        <v>642</v>
      </c>
      <c r="D259" s="2">
        <v>565</v>
      </c>
      <c r="E259" s="2">
        <v>0</v>
      </c>
      <c r="F259" s="5">
        <v>0.88009999999999999</v>
      </c>
      <c r="G259" s="4">
        <v>544</v>
      </c>
      <c r="H259" s="2">
        <v>9591</v>
      </c>
      <c r="I259" s="2">
        <v>10886</v>
      </c>
      <c r="J259" s="3">
        <v>0.88</v>
      </c>
      <c r="K259" s="4">
        <v>514</v>
      </c>
      <c r="L259" s="2">
        <v>9053</v>
      </c>
      <c r="M259" s="2">
        <v>10276</v>
      </c>
      <c r="N259" s="5">
        <v>0.88100000000000001</v>
      </c>
      <c r="O259" s="5"/>
      <c r="P259" s="5"/>
      <c r="Q259" s="2"/>
      <c r="R259" s="2"/>
      <c r="S259" s="2"/>
      <c r="T259" s="6"/>
    </row>
    <row r="260" spans="1:20">
      <c r="A260" s="51" t="s">
        <v>183</v>
      </c>
      <c r="B260" s="1" t="s">
        <v>314</v>
      </c>
      <c r="C260" s="2">
        <v>628</v>
      </c>
      <c r="D260" s="2">
        <v>553</v>
      </c>
      <c r="E260" s="2">
        <v>0</v>
      </c>
      <c r="F260" s="5">
        <v>0.88060000000000005</v>
      </c>
      <c r="G260" s="4">
        <v>547</v>
      </c>
      <c r="H260" s="2">
        <v>9641</v>
      </c>
      <c r="I260" s="2">
        <v>10943</v>
      </c>
      <c r="J260" s="3">
        <v>0.88</v>
      </c>
      <c r="K260" s="4">
        <v>366</v>
      </c>
      <c r="L260" s="2">
        <v>6448</v>
      </c>
      <c r="M260" s="2">
        <v>7319</v>
      </c>
      <c r="N260" s="5">
        <v>0.88100000000000001</v>
      </c>
      <c r="O260" s="5"/>
      <c r="P260" s="5"/>
      <c r="Q260" s="2"/>
      <c r="R260" s="2"/>
      <c r="S260" s="2"/>
      <c r="T260" s="6"/>
    </row>
    <row r="261" spans="1:20">
      <c r="A261" s="51" t="s">
        <v>183</v>
      </c>
      <c r="B261" s="1" t="s">
        <v>315</v>
      </c>
      <c r="C261" s="2">
        <v>716</v>
      </c>
      <c r="D261" s="2">
        <v>631</v>
      </c>
      <c r="E261" s="2">
        <v>0</v>
      </c>
      <c r="F261" s="5">
        <v>0.88129999999999997</v>
      </c>
      <c r="G261" s="4">
        <v>592</v>
      </c>
      <c r="H261" s="2">
        <v>10442</v>
      </c>
      <c r="I261" s="2">
        <v>11853</v>
      </c>
      <c r="J261" s="3">
        <v>0.88</v>
      </c>
      <c r="K261" s="4">
        <v>260</v>
      </c>
      <c r="L261" s="2">
        <v>4579</v>
      </c>
      <c r="M261" s="2">
        <v>5197</v>
      </c>
      <c r="N261" s="5">
        <v>0.88109999999999999</v>
      </c>
      <c r="O261" s="5"/>
      <c r="P261" s="5"/>
      <c r="Q261" s="2"/>
      <c r="R261" s="2"/>
      <c r="S261" s="2"/>
      <c r="T261" s="6"/>
    </row>
    <row r="262" spans="1:20" s="26" customFormat="1">
      <c r="A262" s="64" t="s">
        <v>342</v>
      </c>
      <c r="C262" s="27">
        <f>SUM(C5:C261)</f>
        <v>145239</v>
      </c>
      <c r="D262" s="27">
        <f>SUM(D5:D261)</f>
        <v>79750.545000000071</v>
      </c>
      <c r="E262" s="27">
        <f>SUM(E5:E261)</f>
        <v>3666</v>
      </c>
      <c r="F262" s="61">
        <f>AVERAGE(F5:F261)</f>
        <v>0.66874307519889076</v>
      </c>
      <c r="G262" s="27">
        <f>SUM(G5:G261)</f>
        <v>99043.276842105246</v>
      </c>
      <c r="H262" s="27">
        <f>SUM(H5:H261)</f>
        <v>1220638</v>
      </c>
      <c r="I262" s="27">
        <f>SUM(I5:I261)</f>
        <v>1811334</v>
      </c>
      <c r="J262" s="62">
        <f>AVERAGE(J5:J261)</f>
        <v>0.70173856707318472</v>
      </c>
      <c r="K262" s="27">
        <f>SUM(K5:K261)</f>
        <v>56146.071052631567</v>
      </c>
      <c r="L262" s="27">
        <f t="shared" ref="L262:M262" si="103">SUM(L5:L261)</f>
        <v>773870</v>
      </c>
      <c r="M262" s="27">
        <f t="shared" si="103"/>
        <v>967528</v>
      </c>
      <c r="N262" s="63">
        <f>AVERAGE(N5:N261)</f>
        <v>0.76603195264664947</v>
      </c>
      <c r="O262" s="53">
        <f>COUNTIF(O5:O261, "x")</f>
        <v>39</v>
      </c>
      <c r="P262" s="53">
        <f>COUNTIF(P5:P261, "x")</f>
        <v>105</v>
      </c>
      <c r="Q262" s="54">
        <f>COUNTIF(Q5:Q261, "x")+Q255</f>
        <v>2393</v>
      </c>
      <c r="R262" s="53">
        <f>COUNTIF(R5:R261, "x")</f>
        <v>2</v>
      </c>
      <c r="S262" s="53">
        <f>COUNTIF(S5:S261, "x")</f>
        <v>16</v>
      </c>
      <c r="T262" s="53">
        <f>COUNTIF(T5:T261, "x")</f>
        <v>92</v>
      </c>
    </row>
    <row r="264" spans="1:20">
      <c r="F264" s="55"/>
    </row>
    <row r="265" spans="1:20">
      <c r="F265" s="55"/>
    </row>
  </sheetData>
  <autoFilter ref="A1:T262" xr:uid="{419D5EDF-090A-A844-9052-AF58DE4AB2B0}"/>
  <mergeCells count="1">
    <mergeCell ref="A1:A4"/>
  </mergeCells>
  <pageMargins left="0.7" right="0.7" top="0.75" bottom="0.75" header="0.3" footer="0.3"/>
  <pageSetup paperSize="5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Delaware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Uhey Ruth</dc:creator>
  <cp:lastModifiedBy>Zoto, George</cp:lastModifiedBy>
  <cp:lastPrinted>2017-03-20T17:28:51Z</cp:lastPrinted>
  <dcterms:created xsi:type="dcterms:W3CDTF">2017-03-20T15:01:28Z</dcterms:created>
  <dcterms:modified xsi:type="dcterms:W3CDTF">2018-11-08T18:40:06Z</dcterms:modified>
</cp:coreProperties>
</file>