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5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6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7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8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9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tabRatio="934" activeTab="4"/>
  </bookViews>
  <sheets>
    <sheet name="373 only" sheetId="28" r:id="rId1"/>
    <sheet name="373 statement" sheetId="26" r:id="rId2"/>
    <sheet name="SOA 27-08-2023 Ret. excl.vat" sheetId="23" r:id="rId3"/>
    <sheet name="SOA 27-08-2023 Ret. Incl vat" sheetId="25" r:id="rId4"/>
    <sheet name="Al Muhanad Variation 27-08-223" sheetId="24" r:id="rId5"/>
    <sheet name="Cunsultant Approval" sheetId="29" r:id="rId6"/>
    <sheet name="SOA Recon with Memco 26-8-2023" sheetId="21" r:id="rId7"/>
    <sheet name="26-08-2023" sheetId="22" r:id="rId8"/>
    <sheet name="SOA Recon with Memco 23-8-2023" sheetId="19" r:id="rId9"/>
    <sheet name="Ledgers 23-08-2023" sheetId="20" r:id="rId10"/>
    <sheet name="Statement Reconc with Memco" sheetId="14" r:id="rId11"/>
    <sheet name="Al Muhanad Statement" sheetId="18" r:id="rId12"/>
    <sheet name="Statement of account" sheetId="4" state="hidden" r:id="rId13"/>
    <sheet name="Payment Details." sheetId="12" r:id="rId14"/>
    <sheet name="Payment Details" sheetId="6" state="hidden" r:id="rId15"/>
    <sheet name="Received Payment " sheetId="7" r:id="rId16"/>
    <sheet name="Al Muhanad Ledger" sheetId="13" r:id="rId17"/>
    <sheet name="366" sheetId="8" r:id="rId18"/>
    <sheet name="373" sheetId="9" r:id="rId19"/>
    <sheet name="374" sheetId="10" r:id="rId20"/>
    <sheet name="375" sheetId="11" r:id="rId21"/>
  </sheets>
  <definedNames>
    <definedName name="_xlnm._FilterDatabase" localSheetId="17" hidden="1">'366'!$G$2:$U$18</definedName>
    <definedName name="_xlnm._FilterDatabase" localSheetId="13" hidden="1">'Payment Details.'!$C$3:$AB$68</definedName>
    <definedName name="_xlnm.Print_Area" localSheetId="7">'26-08-2023'!$B$2:$D$22</definedName>
    <definedName name="_xlnm.Print_Area" localSheetId="0">'373 only'!$B$2:$C$29</definedName>
    <definedName name="_xlnm.Print_Area" localSheetId="1">'373 statement'!$B$2:$G$51</definedName>
    <definedName name="_xlnm.Print_Area" localSheetId="4">'Al Muhanad Variation 27-08-223'!$B$2:$G$44</definedName>
    <definedName name="_xlnm.Print_Area" localSheetId="5">'Cunsultant Approval'!$A$1:$G$19</definedName>
    <definedName name="_xlnm.Print_Area" localSheetId="9">'Ledgers 23-08-2023'!$B$2:$I$68</definedName>
    <definedName name="_xlnm.Print_Area" localSheetId="15">'Received Payment '!$B$3:$E$13</definedName>
    <definedName name="_xlnm.Print_Area" localSheetId="2">'SOA 27-08-2023 Ret. excl.vat'!$B$2:$G$51</definedName>
    <definedName name="_xlnm.Print_Area" localSheetId="3">'SOA 27-08-2023 Ret. Incl vat'!$B$2:$G$50</definedName>
    <definedName name="_xlnm.Print_Area" localSheetId="8">'SOA Recon with Memco 23-8-2023'!$B$2:$E$61</definedName>
    <definedName name="_xlnm.Print_Area" localSheetId="6">'SOA Recon with Memco 26-8-2023'!$B$2:$E$73</definedName>
    <definedName name="_xlnm.Print_Area" localSheetId="12">'Statement of account'!$C$1:$G$56,'Statement of account'!$C$58:$G$75</definedName>
    <definedName name="_xlnm.Print_Area" localSheetId="10">'Statement Reconc with Memco'!$C$1:$G$54,'Statement Reconc with Memco'!$C$56:$G$73</definedName>
    <definedName name="_xlnm.Print_Titles" localSheetId="17">'366'!$A:$D,'366'!$2:$2</definedName>
    <definedName name="_xlnm.Print_Titles" localSheetId="18">'373'!$A:$D,'373'!$1:$1</definedName>
    <definedName name="_xlnm.Print_Titles" localSheetId="0">'373 only'!$2:$11</definedName>
    <definedName name="_xlnm.Print_Titles" localSheetId="1">'373 statement'!$2:$11</definedName>
    <definedName name="_xlnm.Print_Titles" localSheetId="19">'374'!$A:$D,'374'!$1:$1</definedName>
    <definedName name="_xlnm.Print_Titles" localSheetId="20">'375'!$A:$D,'375'!$1:$1</definedName>
    <definedName name="_xlnm.Print_Titles" localSheetId="16">'Al Muhanad Ledger'!$A:$D,'Al Muhanad Ledger'!$1:$1</definedName>
    <definedName name="_xlnm.Print_Titles" localSheetId="14">'Payment Details'!$A:$A,'Payment Details'!$2:$2</definedName>
    <definedName name="_xlnm.Print_Titles" localSheetId="13">'Payment Details.'!$A:$C,'Payment Details.'!$3:$3</definedName>
    <definedName name="_xlnm.Print_Titles" localSheetId="15">'Received Payment '!$3:$5</definedName>
    <definedName name="_xlnm.Print_Titles" localSheetId="2">'SOA 27-08-2023 Ret. excl.vat'!$2:$11</definedName>
    <definedName name="_xlnm.Print_Titles" localSheetId="3">'SOA 27-08-2023 Ret. Incl vat'!$2:$11</definedName>
    <definedName name="_xlnm.Print_Titles" localSheetId="8">'SOA Recon with Memco 23-8-2023'!$2:$11</definedName>
    <definedName name="_xlnm.Print_Titles" localSheetId="6">'SOA Recon with Memco 26-8-2023'!$2:$11</definedName>
    <definedName name="_xlnm.Print_Titles" localSheetId="12">'Statement of account'!$1:$10</definedName>
    <definedName name="_xlnm.Print_Titles" localSheetId="10">'Statement Reconc with Memco'!$1:$10</definedName>
    <definedName name="QB_COLUMN_1" localSheetId="17" hidden="1">'366'!$E$2</definedName>
    <definedName name="QB_COLUMN_1" localSheetId="18" hidden="1">'373'!$E$1</definedName>
    <definedName name="QB_COLUMN_1" localSheetId="19" hidden="1">'374'!$E$1</definedName>
    <definedName name="QB_COLUMN_1" localSheetId="20" hidden="1">'375'!$E$1</definedName>
    <definedName name="QB_COLUMN_1" localSheetId="16" hidden="1">'Al Muhanad Ledger'!$E$1</definedName>
    <definedName name="QB_COLUMN_1" localSheetId="9" hidden="1">'Ledgers 23-08-2023'!#REF!</definedName>
    <definedName name="QB_COLUMN_1" localSheetId="14" hidden="1">'Payment Details'!#REF!</definedName>
    <definedName name="QB_COLUMN_1" localSheetId="13" hidden="1">'Payment Details.'!$D$3</definedName>
    <definedName name="QB_COLUMN_16" localSheetId="9" hidden="1">'Ledgers 23-08-2023'!#REF!</definedName>
    <definedName name="QB_COLUMN_16" localSheetId="13" hidden="1">'Payment Details.'!$P$3</definedName>
    <definedName name="QB_COLUMN_17" localSheetId="13" hidden="1">'Payment Details.'!$R$3</definedName>
    <definedName name="QB_COLUMN_19" localSheetId="13" hidden="1">'Payment Details.'!$T$3</definedName>
    <definedName name="QB_COLUMN_20" localSheetId="9" hidden="1">'Ledgers 23-08-2023'!#REF!</definedName>
    <definedName name="QB_COLUMN_20" localSheetId="13" hidden="1">'Payment Details.'!$V$3</definedName>
    <definedName name="QB_COLUMN_28" localSheetId="17" hidden="1">'366'!$Q$2</definedName>
    <definedName name="QB_COLUMN_28" localSheetId="18" hidden="1">'373'!$Q$1</definedName>
    <definedName name="QB_COLUMN_28" localSheetId="19" hidden="1">'374'!$Q$1</definedName>
    <definedName name="QB_COLUMN_28" localSheetId="20" hidden="1">'375'!$Q$1</definedName>
    <definedName name="QB_COLUMN_28" localSheetId="16" hidden="1">'Al Muhanad Ledger'!$Q$1</definedName>
    <definedName name="QB_COLUMN_28" localSheetId="9" hidden="1">'Ledgers 23-08-2023'!$G$3</definedName>
    <definedName name="QB_COLUMN_28" localSheetId="14" hidden="1">'Payment Details'!$H$2</definedName>
    <definedName name="QB_COLUMN_28" localSheetId="13" hidden="1">'Payment Details.'!$X$3</definedName>
    <definedName name="QB_COLUMN_29" localSheetId="17" hidden="1">'366'!$S$2</definedName>
    <definedName name="QB_COLUMN_29" localSheetId="18" hidden="1">'373'!$S$1</definedName>
    <definedName name="QB_COLUMN_29" localSheetId="19" hidden="1">'374'!$S$1</definedName>
    <definedName name="QB_COLUMN_29" localSheetId="20" hidden="1">'375'!$S$1</definedName>
    <definedName name="QB_COLUMN_29" localSheetId="16" hidden="1">'Al Muhanad Ledger'!$S$1</definedName>
    <definedName name="QB_COLUMN_29" localSheetId="9" hidden="1">'Ledgers 23-08-2023'!$H$3</definedName>
    <definedName name="QB_COLUMN_29" localSheetId="14" hidden="1">'Payment Details'!$I$2</definedName>
    <definedName name="QB_COLUMN_29" localSheetId="13" hidden="1">'Payment Details.'!$Z$3</definedName>
    <definedName name="QB_COLUMN_3" localSheetId="17" hidden="1">'366'!$G$2</definedName>
    <definedName name="QB_COLUMN_3" localSheetId="18" hidden="1">'373'!$G$1</definedName>
    <definedName name="QB_COLUMN_3" localSheetId="19" hidden="1">'374'!$G$1</definedName>
    <definedName name="QB_COLUMN_3" localSheetId="20" hidden="1">'375'!$G$1</definedName>
    <definedName name="QB_COLUMN_3" localSheetId="16" hidden="1">'Al Muhanad Ledger'!$G$1</definedName>
    <definedName name="QB_COLUMN_3" localSheetId="9" hidden="1">'Ledgers 23-08-2023'!$B$3</definedName>
    <definedName name="QB_COLUMN_3" localSheetId="14" hidden="1">'Payment Details'!$B$2</definedName>
    <definedName name="QB_COLUMN_3" localSheetId="13" hidden="1">'Payment Details.'!$F$3</definedName>
    <definedName name="QB_COLUMN_31" localSheetId="17" hidden="1">'366'!$U$2</definedName>
    <definedName name="QB_COLUMN_31" localSheetId="18" hidden="1">'373'!$U$1</definedName>
    <definedName name="QB_COLUMN_31" localSheetId="19" hidden="1">'374'!$U$1</definedName>
    <definedName name="QB_COLUMN_31" localSheetId="20" hidden="1">'375'!$U$1</definedName>
    <definedName name="QB_COLUMN_31" localSheetId="16" hidden="1">'Al Muhanad Ledger'!$U$1</definedName>
    <definedName name="QB_COLUMN_31" localSheetId="9" hidden="1">'Ledgers 23-08-2023'!$I$3</definedName>
    <definedName name="QB_COLUMN_31" localSheetId="14" hidden="1">'Payment Details'!$J$2</definedName>
    <definedName name="QB_COLUMN_31" localSheetId="13" hidden="1">'Payment Details.'!$AB$3</definedName>
    <definedName name="QB_COLUMN_4" localSheetId="17" hidden="1">'366'!$I$2</definedName>
    <definedName name="QB_COLUMN_4" localSheetId="18" hidden="1">'373'!$I$1</definedName>
    <definedName name="QB_COLUMN_4" localSheetId="19" hidden="1">'374'!$I$1</definedName>
    <definedName name="QB_COLUMN_4" localSheetId="20" hidden="1">'375'!$I$1</definedName>
    <definedName name="QB_COLUMN_4" localSheetId="16" hidden="1">'Al Muhanad Ledger'!$I$1</definedName>
    <definedName name="QB_COLUMN_4" localSheetId="9" hidden="1">'Ledgers 23-08-2023'!$C$3</definedName>
    <definedName name="QB_COLUMN_4" localSheetId="14" hidden="1">'Payment Details'!$C$2</definedName>
    <definedName name="QB_COLUMN_4" localSheetId="13" hidden="1">'Payment Details.'!$H$3</definedName>
    <definedName name="QB_COLUMN_5" localSheetId="17" hidden="1">'366'!$K$2</definedName>
    <definedName name="QB_COLUMN_5" localSheetId="18" hidden="1">'373'!$K$1</definedName>
    <definedName name="QB_COLUMN_5" localSheetId="19" hidden="1">'374'!$K$1</definedName>
    <definedName name="QB_COLUMN_5" localSheetId="20" hidden="1">'375'!$K$1</definedName>
    <definedName name="QB_COLUMN_5" localSheetId="16" hidden="1">'Al Muhanad Ledger'!$K$1</definedName>
    <definedName name="QB_COLUMN_5" localSheetId="9" hidden="1">'Ledgers 23-08-2023'!$D$3</definedName>
    <definedName name="QB_COLUMN_5" localSheetId="14" hidden="1">'Payment Details'!$D$2</definedName>
    <definedName name="QB_COLUMN_5" localSheetId="13" hidden="1">'Payment Details.'!$J$3</definedName>
    <definedName name="QB_COLUMN_65" localSheetId="14" hidden="1">'Payment Details'!$E$2</definedName>
    <definedName name="QB_COLUMN_7" localSheetId="17" hidden="1">'366'!$M$2</definedName>
    <definedName name="QB_COLUMN_7" localSheetId="18" hidden="1">'373'!$M$1</definedName>
    <definedName name="QB_COLUMN_7" localSheetId="19" hidden="1">'374'!$M$1</definedName>
    <definedName name="QB_COLUMN_7" localSheetId="20" hidden="1">'375'!$M$1</definedName>
    <definedName name="QB_COLUMN_7" localSheetId="16" hidden="1">'Al Muhanad Ledger'!$M$1</definedName>
    <definedName name="QB_COLUMN_7" localSheetId="9" hidden="1">'Ledgers 23-08-2023'!$E$3</definedName>
    <definedName name="QB_COLUMN_7" localSheetId="14" hidden="1">'Payment Details'!$F$2</definedName>
    <definedName name="QB_COLUMN_7" localSheetId="13" hidden="1">'Payment Details.'!$L$3</definedName>
    <definedName name="QB_COLUMN_8" localSheetId="17" hidden="1">'366'!$O$2</definedName>
    <definedName name="QB_COLUMN_8" localSheetId="18" hidden="1">'373'!$O$1</definedName>
    <definedName name="QB_COLUMN_8" localSheetId="19" hidden="1">'374'!$O$1</definedName>
    <definedName name="QB_COLUMN_8" localSheetId="20" hidden="1">'375'!$O$1</definedName>
    <definedName name="QB_COLUMN_8" localSheetId="16" hidden="1">'Al Muhanad Ledger'!$O$1</definedName>
    <definedName name="QB_COLUMN_8" localSheetId="9" hidden="1">'Ledgers 23-08-2023'!$F$3</definedName>
    <definedName name="QB_COLUMN_8" localSheetId="14" hidden="1">'Payment Details'!$G$2</definedName>
    <definedName name="QB_COLUMN_8" localSheetId="13" hidden="1">'Payment Details.'!$N$3</definedName>
    <definedName name="QB_DATA_0" localSheetId="17" hidden="1">'366'!$3:$3,'366'!$4:$4,'366'!$5:$5,'366'!$6:$6,'366'!$7:$7,'366'!$8:$8,'366'!$9:$9,'366'!$10:$10,'366'!$11:$11,'366'!$12:$12,'366'!$13:$13,'366'!$14:$14,'366'!$15:$15,'366'!$16:$16,'366'!$17:$17,'366'!$18:$18</definedName>
    <definedName name="QB_DATA_0" localSheetId="18" hidden="1">'373'!$3:$3,'373'!$4:$4,'373'!$5:$5,'373'!$6:$6,'373'!$7:$7,'373'!$8:$8,'373'!$9:$9,'373'!$10:$10,'373'!$11:$11,'373'!$12:$12,'373'!$13:$13,'373'!$14:$14,'373'!$15:$15,'373'!$16:$16,'373'!$17:$17,'373'!$18:$18</definedName>
    <definedName name="QB_DATA_0" localSheetId="19" hidden="1">'374'!$3:$3,'374'!$4:$4,'374'!$5:$5,'374'!$6:$6,'374'!$7:$7,'374'!$8:$8,'374'!$9:$9,'374'!$10:$10,'374'!$11:$11,'374'!$12:$12,'374'!$13:$13,'374'!$14:$14,'374'!$15:$15,'374'!$17:$17,'374'!$18:$18,'374'!$19:$19</definedName>
    <definedName name="QB_DATA_0" localSheetId="20" hidden="1">'375'!$3:$3,'375'!$4:$4,'375'!$5:$5,'375'!$6:$6,'375'!$7:$7,'375'!$8:$8,'375'!$9:$9,'375'!$10:$10,'375'!$11:$11,'375'!$12:$12,'375'!$13:$13,'375'!$15:$15,'375'!$16:$16,'375'!$17:$17,'375'!$18:$18,'375'!$19:$19</definedName>
    <definedName name="QB_DATA_0" localSheetId="16" hidden="1">'Al Muhanad Ledger'!$3:$3,'Al Muhanad Ledger'!$4:$4,'Al Muhanad Ledger'!$5:$5,'Al Muhanad Ledger'!$6:$6,'Al Muhanad Ledger'!$7:$7,'Al Muhanad Ledger'!$8:$8,'Al Muhanad Ledger'!$9:$9,'Al Muhanad Ledger'!$10:$10,'Al Muhanad Ledger'!$11:$11,'Al Muhanad Ledger'!$12:$12,'Al Muhanad Ledger'!$13:$13,'Al Muhanad Ledger'!$14:$14,'Al Muhanad Ledger'!$15:$15,'Al Muhanad Ledger'!$16:$16,'Al Muhanad Ledger'!$17:$17,'Al Muhanad Ledger'!$18:$18</definedName>
    <definedName name="QB_DATA_0" localSheetId="9" hidden="1">'Ledgers 23-08-2023'!$5:$5,'Ledgers 23-08-2023'!$6:$6,'Ledgers 23-08-2023'!$7:$7,'Ledgers 23-08-2023'!$8:$8,'Ledgers 23-08-2023'!$9:$9,'Ledgers 23-08-2023'!$10:$10,'Ledgers 23-08-2023'!$11:$11,'Ledgers 23-08-2023'!$12:$12,'Ledgers 23-08-2023'!$13:$13,'Ledgers 23-08-2023'!$14:$14,'Ledgers 23-08-2023'!$15:$15,'Ledgers 23-08-2023'!$16:$16,'Ledgers 23-08-2023'!$17:$17,'Ledgers 23-08-2023'!$18:$18,'Ledgers 23-08-2023'!$19:$19,'Ledgers 23-08-2023'!$20:$20</definedName>
    <definedName name="QB_DATA_0" localSheetId="14" hidden="1">'Payment Details'!$3:$3,'Payment Details'!$4:$4,'Payment Details'!$5:$5,'Payment Details'!$6:$6,'Payment Details'!$7:$7,'Payment Details'!$8:$8,'Payment Details'!$9:$9,'Payment Details'!$10:$10,'Payment Details'!$11:$11,'Payment Details'!$12:$12,'Payment Details'!$13:$13,'Payment Details'!$14:$14,'Payment Details'!$15:$15,'Payment Details'!$16:$16,'Payment Details'!$17:$17,'Payment Details'!$18:$18</definedName>
    <definedName name="QB_DATA_0" localSheetId="13" hidden="1">'Payment Details.'!$5:$5,'Payment Details.'!$6:$6,'Payment Details.'!$7:$7,'Payment Details.'!$8:$8,'Payment Details.'!$9:$9,'Payment Details.'!$10:$10,'Payment Details.'!$11:$11,'Payment Details.'!$12:$12,'Payment Details.'!$13:$13,'Payment Details.'!$14:$14,'Payment Details.'!$15:$15,'Payment Details.'!$16:$16,'Payment Details.'!$17:$17,'Payment Details.'!$18:$18,'Payment Details.'!$19:$19,'Payment Details.'!$20:$20</definedName>
    <definedName name="QB_DATA_1" localSheetId="17" hidden="1">'366'!$19:$19,'366'!$21:$21,'366'!$22:$22,'366'!$23:$23,'366'!$24:$24,'366'!$25:$25,'366'!$26:$26,'366'!$27:$27,'366'!$28:$28,'366'!$29:$29,'366'!$30:$30,'366'!$33:$33,'366'!$34:$34,'366'!$35:$35,'366'!$36:$36,'366'!$37:$37</definedName>
    <definedName name="QB_DATA_1" localSheetId="18" hidden="1">'373'!$19:$19,'373'!$20:$20,'373'!$22:$22,'373'!$23:$23,'373'!$24:$24,'373'!$25:$25,'373'!$26:$26,'373'!$27:$27,'373'!$28:$28,'373'!$29:$29,'373'!$30:$30,'373'!$31:$31,'373'!$32:$32,'373'!$33:$33,'373'!$34:$34,'373'!$35:$35</definedName>
    <definedName name="QB_DATA_1" localSheetId="19" hidden="1">'374'!$20:$20,'374'!$21:$21,'374'!$22:$22,'374'!$23:$23,'374'!$24:$24,'374'!$25:$25,'374'!$28:$28,'374'!$29:$29,'374'!$30:$30,'374'!$31:$31,'374'!$32:$32,'374'!$37:$37,'374'!$38:$38,'374'!$39:$39,'374'!$40:$40,'374'!$43:$43</definedName>
    <definedName name="QB_DATA_1" localSheetId="20" hidden="1">'375'!$20:$20,'375'!$21:$21,'375'!$22:$22,'375'!$23:$23,'375'!$24:$24,'375'!$27:$27,'375'!$28:$28,'375'!$29:$29,'375'!$30:$30,'375'!$31:$31,'375'!$36:$36,'375'!$37:$37,'375'!$38:$38,'375'!$39:$39,'375'!$40:$40,'375'!$43:$43</definedName>
    <definedName name="QB_DATA_1" localSheetId="16" hidden="1">'Al Muhanad Ledger'!$19:$19,'Al Muhanad Ledger'!$20:$20,'Al Muhanad Ledger'!$21:$21,'Al Muhanad Ledger'!$22:$22,'Al Muhanad Ledger'!$23:$23,'Al Muhanad Ledger'!$24:$24,'Al Muhanad Ledger'!$25:$25,'Al Muhanad Ledger'!$26:$26,'Al Muhanad Ledger'!$27:$27,'Al Muhanad Ledger'!$28:$28,'Al Muhanad Ledger'!$29:$29,'Al Muhanad Ledger'!$30:$30,'Al Muhanad Ledger'!$31:$31,'Al Muhanad Ledger'!$32:$32,'Al Muhanad Ledger'!$33:$33,'Al Muhanad Ledger'!$34:$34</definedName>
    <definedName name="QB_DATA_1" localSheetId="9" hidden="1">'Ledgers 23-08-2023'!$23:$23,'Ledgers 23-08-2023'!$24:$24,'Ledgers 23-08-2023'!$25:$25,'Ledgers 23-08-2023'!$26:$26,'Ledgers 23-08-2023'!$27:$27,'Ledgers 23-08-2023'!$28:$28,'Ledgers 23-08-2023'!$29:$29,'Ledgers 23-08-2023'!$30:$30,'Ledgers 23-08-2023'!$31:$31,'Ledgers 23-08-2023'!$32:$32,'Ledgers 23-08-2023'!$33:$33,'Ledgers 23-08-2023'!$34:$34,'Ledgers 23-08-2023'!$35:$35,'Ledgers 23-08-2023'!$36:$36,'Ledgers 23-08-2023'!$37:$37,'Ledgers 23-08-2023'!$38:$38</definedName>
    <definedName name="QB_DATA_1" localSheetId="14" hidden="1">'Payment Details'!$19:$19,'Payment Details'!$20:$20,'Payment Details'!$21:$21,'Payment Details'!$22:$22,'Payment Details'!$23:$23,'Payment Details'!$24:$24,'Payment Details'!$25:$25,'Payment Details'!$26:$26,'Payment Details'!$27:$27,'Payment Details'!$28:$28,'Payment Details'!$29:$29,'Payment Details'!$30:$30,'Payment Details'!$31:$31,'Payment Details'!$32:$32,'Payment Details'!$33:$33,'Payment Details'!$34:$34</definedName>
    <definedName name="QB_DATA_1" localSheetId="13" hidden="1">'Payment Details.'!$23:$23,'Payment Details.'!$24:$24,'Payment Details.'!$25:$25,'Payment Details.'!$26:$26,'Payment Details.'!$27:$27,'Payment Details.'!$28:$28,'Payment Details.'!$29:$29,'Payment Details.'!$30:$30,'Payment Details.'!$31:$31,'Payment Details.'!$32:$32,'Payment Details.'!$33:$33,'Payment Details.'!$34:$34,'Payment Details.'!$35:$35,'Payment Details.'!$36:$36,'Payment Details.'!$37:$37,'Payment Details.'!$38:$38</definedName>
    <definedName name="QB_DATA_2" localSheetId="17" hidden="1">'366'!$38:$38,'366'!$43:$43,'366'!$44:$44,'366'!$45:$45,'366'!$46:$46,'366'!$47:$47,'366'!$48:$48</definedName>
    <definedName name="QB_DATA_2" localSheetId="18" hidden="1">'373'!$36:$36,'373'!$39:$39,'373'!$40:$40,'373'!$41:$41,'373'!$42:$42,'373'!$43:$43,'373'!$44:$44,'373'!$45:$45,'373'!$46:$46,'373'!$47:$47,'373'!$48:$48,'373'!$53:$53,'373'!$54:$54,'373'!$55:$55,'373'!$56:$56,'373'!$57:$57</definedName>
    <definedName name="QB_DATA_2" localSheetId="20" hidden="1">'375'!$44:$44</definedName>
    <definedName name="QB_DATA_2" localSheetId="16" hidden="1">'Al Muhanad Ledger'!$35:$35,'Al Muhanad Ledger'!$36:$36,'Al Muhanad Ledger'!$37:$37,'Al Muhanad Ledger'!$38:$38,'Al Muhanad Ledger'!$39:$39,'Al Muhanad Ledger'!$40:$40,'Al Muhanad Ledger'!$41:$41,'Al Muhanad Ledger'!$42:$42,'Al Muhanad Ledger'!$43:$43,'Al Muhanad Ledger'!$44:$44,'Al Muhanad Ledger'!$45:$45,'Al Muhanad Ledger'!$46:$46,'Al Muhanad Ledger'!$47:$47,'Al Muhanad Ledger'!$48:$48,'Al Muhanad Ledger'!$49:$49,'Al Muhanad Ledger'!$50:$50</definedName>
    <definedName name="QB_DATA_2" localSheetId="9" hidden="1">'Ledgers 23-08-2023'!$39:$39,'Ledgers 23-08-2023'!$42:$42,'Ledgers 23-08-2023'!$43:$43,'Ledgers 23-08-2023'!$44:$44,'Ledgers 23-08-2023'!$45:$45,'Ledgers 23-08-2023'!$46:$46,'Ledgers 23-08-2023'!$47:$47,'Ledgers 23-08-2023'!$48:$48,'Ledgers 23-08-2023'!$49:$49,'Ledgers 23-08-2023'!$50:$50,'Ledgers 23-08-2023'!$51:$51,'Ledgers 23-08-2023'!$52:$52,'Ledgers 23-08-2023'!$53:$53,'Ledgers 23-08-2023'!$56:$56,'Ledgers 23-08-2023'!$57:$57,'Ledgers 23-08-2023'!$58:$58</definedName>
    <definedName name="QB_DATA_2" localSheetId="14" hidden="1">'Payment Details'!$35:$35,'Payment Details'!$36:$36,'Payment Details'!$37:$37,'Payment Details'!$38:$38,'Payment Details'!$39:$39,'Payment Details'!$40:$40,'Payment Details'!$41:$41,'Payment Details'!$42:$42</definedName>
    <definedName name="QB_DATA_2" localSheetId="13" hidden="1">'Payment Details.'!$39:$39,'Payment Details.'!$42:$42,'Payment Details.'!$43:$43,'Payment Details.'!$44:$44,'Payment Details.'!$45:$45,'Payment Details.'!$46:$46,'Payment Details.'!$47:$47,'Payment Details.'!$48:$48,'Payment Details.'!$49:$49,'Payment Details.'!$50:$50,'Payment Details.'!$51:$51,'Payment Details.'!$52:$52,'Payment Details.'!$53:$53,'Payment Details.'!$56:$56,'Payment Details.'!$57:$57,'Payment Details.'!$58:$58</definedName>
    <definedName name="QB_DATA_3" localSheetId="18" hidden="1">'373'!$58:$58,'373'!$59:$59,'373'!$60:$60,'373'!$61:$61</definedName>
    <definedName name="QB_DATA_3" localSheetId="16" hidden="1">'Al Muhanad Ledger'!$51:$51,'Al Muhanad Ledger'!$52:$52,'Al Muhanad Ledger'!$53:$53,'Al Muhanad Ledger'!$54:$54,'Al Muhanad Ledger'!$55:$55,'Al Muhanad Ledger'!$56:$56,'Al Muhanad Ledger'!$57:$57,'Al Muhanad Ledger'!$58:$58,'Al Muhanad Ledger'!$60:$60,'Al Muhanad Ledger'!$61:$61,'Al Muhanad Ledger'!$62:$62,'Al Muhanad Ledger'!$63:$63,'Al Muhanad Ledger'!$64:$64,'Al Muhanad Ledger'!$65:$65,'Al Muhanad Ledger'!$66:$66,'Al Muhanad Ledger'!$67:$67</definedName>
    <definedName name="QB_DATA_3" localSheetId="9" hidden="1">'Ledgers 23-08-2023'!$59:$59,'Ledgers 23-08-2023'!$60:$60,'Ledgers 23-08-2023'!$61:$61,'Ledgers 23-08-2023'!$62:$62,'Ledgers 23-08-2023'!$63:$63,'Ledgers 23-08-2023'!$64:$64,'Ledgers 23-08-2023'!$65:$65</definedName>
    <definedName name="QB_DATA_3" localSheetId="13" hidden="1">'Payment Details.'!$59:$59,'Payment Details.'!$60:$60,'Payment Details.'!$61:$61,'Payment Details.'!$62:$62,'Payment Details.'!$63:$63,'Payment Details.'!$64:$64,'Payment Details.'!$65:$65</definedName>
    <definedName name="QB_DATA_4" localSheetId="16" hidden="1">'Al Muhanad Ledger'!$68:$68,'Al Muhanad Ledger'!$69:$69,'Al Muhanad Ledger'!$70:$70,'Al Muhanad Ledger'!$71:$71,'Al Muhanad Ledger'!$72:$72,'Al Muhanad Ledger'!$73:$73,'Al Muhanad Ledger'!$74:$74,'Al Muhanad Ledger'!$75:$75,'Al Muhanad Ledger'!$76:$76,'Al Muhanad Ledger'!$77:$77,'Al Muhanad Ledger'!$78:$78,'Al Muhanad Ledger'!$79:$79,'Al Muhanad Ledger'!$80:$80,'Al Muhanad Ledger'!$81:$81,'Al Muhanad Ledger'!$82:$82,'Al Muhanad Ledger'!$83:$83</definedName>
    <definedName name="QB_DATA_5" localSheetId="16" hidden="1">'Al Muhanad Ledger'!$84:$84,'Al Muhanad Ledger'!$85:$85,'Al Muhanad Ledger'!$86:$86,'Al Muhanad Ledger'!$87:$87,'Al Muhanad Ledger'!$88:$88,'Al Muhanad Ledger'!$89:$89,'Al Muhanad Ledger'!$90:$90,'Al Muhanad Ledger'!$91:$91,'Al Muhanad Ledger'!$92:$92,'Al Muhanad Ledger'!$93:$93,'Al Muhanad Ledger'!$94:$94,'Al Muhanad Ledger'!$95:$95,'Al Muhanad Ledger'!$96:$96,'Al Muhanad Ledger'!$97:$97,'Al Muhanad Ledger'!$98:$98,'Al Muhanad Ledger'!$99:$99</definedName>
    <definedName name="QB_DATA_6" localSheetId="16" hidden="1">'Al Muhanad Ledger'!$100:$100,'Al Muhanad Ledger'!$101:$101,'Al Muhanad Ledger'!$102:$102,'Al Muhanad Ledger'!$103:$103,'Al Muhanad Ledger'!$106:$106,'Al Muhanad Ledger'!$107:$107,'Al Muhanad Ledger'!$108:$108,'Al Muhanad Ledger'!$109:$109,'Al Muhanad Ledger'!$110:$110,'Al Muhanad Ledger'!$111:$111,'Al Muhanad Ledger'!$112:$112,'Al Muhanad Ledger'!$113:$113,'Al Muhanad Ledger'!$114:$114,'Al Muhanad Ledger'!$115:$115,'Al Muhanad Ledger'!$116:$116,'Al Muhanad Ledger'!$117:$117</definedName>
    <definedName name="QB_DATA_7" localSheetId="16" hidden="1">'Al Muhanad Ledger'!$118:$118,'Al Muhanad Ledger'!$119:$119,'Al Muhanad Ledger'!$120:$120,'Al Muhanad Ledger'!$121:$121,'Al Muhanad Ledger'!$122:$122,'Al Muhanad Ledger'!$123:$123,'Al Muhanad Ledger'!$124:$124,'Al Muhanad Ledger'!$125:$125,'Al Muhanad Ledger'!$126:$126,'Al Muhanad Ledger'!$127:$127,'Al Muhanad Ledger'!$128:$128,'Al Muhanad Ledger'!$129:$129,'Al Muhanad Ledger'!$130:$130,'Al Muhanad Ledger'!$131:$131,'Al Muhanad Ledger'!$136:$136,'Al Muhanad Ledger'!$137:$137</definedName>
    <definedName name="QB_DATA_8" localSheetId="16" hidden="1">'Al Muhanad Ledger'!$138:$138,'Al Muhanad Ledger'!$139:$139,'Al Muhanad Ledger'!$140:$140,'Al Muhanad Ledger'!$141:$141,'Al Muhanad Ledger'!$142:$142,'Al Muhanad Ledger'!$143:$143,'Al Muhanad Ledger'!$144:$144,'Al Muhanad Ledger'!$145:$145,'Al Muhanad Ledger'!$146:$146,'Al Muhanad Ledger'!$147:$147,'Al Muhanad Ledger'!$148:$148,'Al Muhanad Ledger'!$149:$149,'Al Muhanad Ledger'!$150:$150,'Al Muhanad Ledger'!$151:$151,'Al Muhanad Ledger'!$152:$152,'Al Muhanad Ledger'!$153:$153</definedName>
    <definedName name="QB_DATA_9" localSheetId="16" hidden="1">'Al Muhanad Ledger'!$154:$154,'Al Muhanad Ledger'!$155:$155,'Al Muhanad Ledger'!$156:$156,'Al Muhanad Ledger'!$157:$157,'Al Muhanad Ledger'!$158:$158,'Al Muhanad Ledger'!$159:$159,'Al Muhanad Ledger'!$162:$162,'Al Muhanad Ledger'!$163:$163,'Al Muhanad Ledger'!$164:$164</definedName>
    <definedName name="QB_FORMULA_0" localSheetId="17" hidden="1">'366'!$Q$31,'366'!$S$31,'366'!$U$31,'366'!$Q$39,'366'!$S$39,'366'!$U$39,'366'!$Q$49,'366'!$S$49,'366'!$U$49,'366'!$Q$50,'366'!$S$50,'366'!$U$50,'366'!$Q$51,'366'!$S$51,'366'!$U$51,'366'!$Q$52</definedName>
    <definedName name="QB_FORMULA_0" localSheetId="18" hidden="1">'373'!$Q$37,'373'!$S$37,'373'!$U$37,'373'!$Q$49,'373'!$S$49,'373'!$U$49,'373'!$Q$62,'373'!$S$62,'373'!$U$62,'373'!$Q$63,'373'!$S$63,'373'!$U$63,'373'!$Q$64,'373'!$S$64,'373'!$U$64,'373'!$Q$65</definedName>
    <definedName name="QB_FORMULA_0" localSheetId="19" hidden="1">'374'!$Q$26,'374'!$S$26,'374'!$U$26,'374'!$Q$33,'374'!$S$33,'374'!$U$33,'374'!$Q$41,'374'!$S$41,'374'!$U$41,'374'!$Q$44,'374'!$S$44,'374'!$U$44,'374'!$Q$45,'374'!$S$45,'374'!$U$45,'374'!$Q$46</definedName>
    <definedName name="QB_FORMULA_0" localSheetId="20" hidden="1">'375'!$Q$25,'375'!$S$25,'375'!$U$25,'375'!$Q$32,'375'!$S$32,'375'!$U$32,'375'!$Q$41,'375'!$S$41,'375'!$U$41,'375'!$Q$45,'375'!$S$45,'375'!$U$45,'375'!$Q$46,'375'!$S$46,'375'!$U$46,'375'!$Q$47</definedName>
    <definedName name="QB_FORMULA_0" localSheetId="16" hidden="1">'Al Muhanad Ledger'!$Q$104,'Al Muhanad Ledger'!$S$104,'Al Muhanad Ledger'!$U$104,'Al Muhanad Ledger'!$Q$132,'Al Muhanad Ledger'!$S$132,'Al Muhanad Ledger'!$U$132,'Al Muhanad Ledger'!$Q$160,'Al Muhanad Ledger'!$S$160,'Al Muhanad Ledger'!$U$160,'Al Muhanad Ledger'!$Q$165,'Al Muhanad Ledger'!$S$165,'Al Muhanad Ledger'!$U$165,'Al Muhanad Ledger'!$Q$166,'Al Muhanad Ledger'!$S$166,'Al Muhanad Ledger'!$U$166,'Al Muhanad Ledger'!$Q$167</definedName>
    <definedName name="QB_FORMULA_0" localSheetId="9" hidden="1">'Ledgers 23-08-2023'!$G$21,'Ledgers 23-08-2023'!$H$21,'Ledgers 23-08-2023'!$I$21,'Ledgers 23-08-2023'!$G$40,'Ledgers 23-08-2023'!$H$40,'Ledgers 23-08-2023'!$I$40,'Ledgers 23-08-2023'!$G$54,'Ledgers 23-08-2023'!$H$54,'Ledgers 23-08-2023'!$I$54,'Ledgers 23-08-2023'!$G$66,'Ledgers 23-08-2023'!$H$66,'Ledgers 23-08-2023'!$I$66,'Ledgers 23-08-2023'!$G$67,'Ledgers 23-08-2023'!$H$67,'Ledgers 23-08-2023'!$I$67,'Ledgers 23-08-2023'!$G$68</definedName>
    <definedName name="QB_FORMULA_0" localSheetId="14" hidden="1">'Payment Details'!$H$43,'Payment Details'!$I$43,'Payment Details'!$J$43</definedName>
    <definedName name="QB_FORMULA_0" localSheetId="13" hidden="1">'Payment Details.'!$X$21,'Payment Details.'!$Z$21,'Payment Details.'!$AB$21,'Payment Details.'!$X$40,'Payment Details.'!$Z$40,'Payment Details.'!$AB$40,'Payment Details.'!$X$54,'Payment Details.'!$Z$54,'Payment Details.'!$AB$54,'Payment Details.'!$X$66,'Payment Details.'!$Z$66,'Payment Details.'!$AB$66,'Payment Details.'!$X$67,'Payment Details.'!$Z$67,'Payment Details.'!$AB$67,'Payment Details.'!$X$68</definedName>
    <definedName name="QB_FORMULA_1" localSheetId="17" hidden="1">'366'!$S$52,'366'!$U$52</definedName>
    <definedName name="QB_FORMULA_1" localSheetId="18" hidden="1">'373'!$S$65,'373'!$U$65</definedName>
    <definedName name="QB_FORMULA_1" localSheetId="19" hidden="1">'374'!$S$46,'374'!$U$46,'374'!$Q$47,'374'!$S$47,'374'!$U$47</definedName>
    <definedName name="QB_FORMULA_1" localSheetId="20" hidden="1">'375'!$S$47,'375'!$U$47,'375'!$Q$48,'375'!$S$48,'375'!$U$48</definedName>
    <definedName name="QB_FORMULA_1" localSheetId="16" hidden="1">'Al Muhanad Ledger'!$S$167,'Al Muhanad Ledger'!$U$167,'Al Muhanad Ledger'!$Q$168,'Al Muhanad Ledger'!$S$168,'Al Muhanad Ledger'!$U$168</definedName>
    <definedName name="QB_FORMULA_1" localSheetId="9" hidden="1">'Ledgers 23-08-2023'!$H$68,'Ledgers 23-08-2023'!$I$68</definedName>
    <definedName name="QB_FORMULA_1" localSheetId="13" hidden="1">'Payment Details.'!$Z$68,'Payment Details.'!$AB$68</definedName>
    <definedName name="QB_ROW_199010" localSheetId="17" hidden="1">'366'!$B$1</definedName>
    <definedName name="QB_ROW_199010" localSheetId="18" hidden="1">'373'!$B$2</definedName>
    <definedName name="QB_ROW_199010" localSheetId="19" hidden="1">'374'!$B$2</definedName>
    <definedName name="QB_ROW_199010" localSheetId="20" hidden="1">'375'!$B$2</definedName>
    <definedName name="QB_ROW_199010" localSheetId="16" hidden="1">'Al Muhanad Ledger'!$B$2</definedName>
    <definedName name="QB_ROW_199310" localSheetId="17" hidden="1">'366'!$B$19</definedName>
    <definedName name="QB_ROW_199310" localSheetId="18" hidden="1">'373'!$B$20</definedName>
    <definedName name="QB_ROW_199310" localSheetId="19" hidden="1">'374'!$B$15</definedName>
    <definedName name="QB_ROW_199310" localSheetId="20" hidden="1">'375'!$B$13</definedName>
    <definedName name="QB_ROW_199310" localSheetId="16" hidden="1">'Al Muhanad Ledger'!$B$58</definedName>
    <definedName name="QB_ROW_207010" localSheetId="17" hidden="1">'366'!$B$20</definedName>
    <definedName name="QB_ROW_207010" localSheetId="18" hidden="1">'373'!$B$21</definedName>
    <definedName name="QB_ROW_207010" localSheetId="19" hidden="1">'374'!$B$16</definedName>
    <definedName name="QB_ROW_207010" localSheetId="20" hidden="1">'375'!$B$14</definedName>
    <definedName name="QB_ROW_207010" localSheetId="16" hidden="1">'Al Muhanad Ledger'!$B$59</definedName>
    <definedName name="QB_ROW_207310" localSheetId="17" hidden="1">'366'!$B$31</definedName>
    <definedName name="QB_ROW_207310" localSheetId="18" hidden="1">'373'!$B$37</definedName>
    <definedName name="QB_ROW_207310" localSheetId="19" hidden="1">'374'!$B$26</definedName>
    <definedName name="QB_ROW_207310" localSheetId="20" hidden="1">'375'!$B$25</definedName>
    <definedName name="QB_ROW_207310" localSheetId="16" hidden="1">'Al Muhanad Ledger'!$B$104</definedName>
    <definedName name="QB_ROW_209030" localSheetId="19" hidden="1">'374'!$D$42</definedName>
    <definedName name="QB_ROW_209030" localSheetId="20" hidden="1">'375'!$D$42</definedName>
    <definedName name="QB_ROW_209030" localSheetId="16" hidden="1">'Al Muhanad Ledger'!$D$161</definedName>
    <definedName name="QB_ROW_209330" localSheetId="19" hidden="1">'374'!$D$44</definedName>
    <definedName name="QB_ROW_209330" localSheetId="20" hidden="1">'375'!$D$45</definedName>
    <definedName name="QB_ROW_209330" localSheetId="16" hidden="1">'Al Muhanad Ledger'!$D$165</definedName>
    <definedName name="QB_ROW_2351010" localSheetId="9" hidden="1">'Ledgers 23-08-2023'!$B$2</definedName>
    <definedName name="QB_ROW_2351010" localSheetId="13" hidden="1">'Payment Details.'!$B$2</definedName>
    <definedName name="QB_ROW_2351310" localSheetId="9" hidden="1">'Ledgers 23-08-2023'!$B$67</definedName>
    <definedName name="QB_ROW_2351310" localSheetId="13" hidden="1">'Payment Details.'!$B$67</definedName>
    <definedName name="QB_ROW_2352020" localSheetId="9" hidden="1">'Ledgers 23-08-2023'!$B$4</definedName>
    <definedName name="QB_ROW_2352020" localSheetId="13" hidden="1">'Payment Details.'!$C$4</definedName>
    <definedName name="QB_ROW_2352320" localSheetId="9" hidden="1">'Ledgers 23-08-2023'!$B$21</definedName>
    <definedName name="QB_ROW_2352320" localSheetId="13" hidden="1">'Payment Details.'!$C$21</definedName>
    <definedName name="QB_ROW_2422020" localSheetId="9" hidden="1">'Ledgers 23-08-2023'!$B$22</definedName>
    <definedName name="QB_ROW_2422020" localSheetId="13" hidden="1">'Payment Details.'!$C$22</definedName>
    <definedName name="QB_ROW_2422320" localSheetId="9" hidden="1">'Ledgers 23-08-2023'!$B$40</definedName>
    <definedName name="QB_ROW_2422320" localSheetId="13" hidden="1">'Payment Details.'!$C$40</definedName>
    <definedName name="QB_ROW_2423020" localSheetId="9" hidden="1">'Ledgers 23-08-2023'!$B$41</definedName>
    <definedName name="QB_ROW_2423020" localSheetId="13" hidden="1">'Payment Details.'!$C$41</definedName>
    <definedName name="QB_ROW_2423320" localSheetId="9" hidden="1">'Ledgers 23-08-2023'!$B$54</definedName>
    <definedName name="QB_ROW_2423320" localSheetId="13" hidden="1">'Payment Details.'!$C$54</definedName>
    <definedName name="QB_ROW_2424020" localSheetId="9" hidden="1">'Ledgers 23-08-2023'!$B$55</definedName>
    <definedName name="QB_ROW_2424020" localSheetId="13" hidden="1">'Payment Details.'!$C$55</definedName>
    <definedName name="QB_ROW_2424320" localSheetId="9" hidden="1">'Ledgers 23-08-2023'!$B$66</definedName>
    <definedName name="QB_ROW_2424320" localSheetId="13" hidden="1">'Payment Details.'!$C$66</definedName>
    <definedName name="QB_ROW_25301" localSheetId="17" hidden="1">'366'!$A$52</definedName>
    <definedName name="QB_ROW_25301" localSheetId="18" hidden="1">'373'!$A$65</definedName>
    <definedName name="QB_ROW_25301" localSheetId="19" hidden="1">'374'!$A$47</definedName>
    <definedName name="QB_ROW_25301" localSheetId="20" hidden="1">'375'!$A$48</definedName>
    <definedName name="QB_ROW_25301" localSheetId="16" hidden="1">'Al Muhanad Ledger'!$A$168</definedName>
    <definedName name="QB_ROW_262010" localSheetId="17" hidden="1">'366'!$B$32</definedName>
    <definedName name="QB_ROW_262010" localSheetId="18" hidden="1">'373'!$B$38</definedName>
    <definedName name="QB_ROW_262010" localSheetId="19" hidden="1">'374'!$B$27</definedName>
    <definedName name="QB_ROW_262010" localSheetId="20" hidden="1">'375'!$B$26</definedName>
    <definedName name="QB_ROW_262010" localSheetId="16" hidden="1">'Al Muhanad Ledger'!$B$105</definedName>
    <definedName name="QB_ROW_262310" localSheetId="17" hidden="1">'366'!$B$39</definedName>
    <definedName name="QB_ROW_262310" localSheetId="18" hidden="1">'373'!$B$49</definedName>
    <definedName name="QB_ROW_262310" localSheetId="19" hidden="1">'374'!$B$33</definedName>
    <definedName name="QB_ROW_262310" localSheetId="20" hidden="1">'375'!$B$32</definedName>
    <definedName name="QB_ROW_262310" localSheetId="16" hidden="1">'Al Muhanad Ledger'!$B$132</definedName>
    <definedName name="QB_ROW_275020" localSheetId="17" hidden="1">'366'!$C$41</definedName>
    <definedName name="QB_ROW_275020" localSheetId="18" hidden="1">'373'!$C$51</definedName>
    <definedName name="QB_ROW_275020" localSheetId="19" hidden="1">'374'!$C$35</definedName>
    <definedName name="QB_ROW_275020" localSheetId="20" hidden="1">'375'!$C$34</definedName>
    <definedName name="QB_ROW_275020" localSheetId="16" hidden="1">'Al Muhanad Ledger'!$C$134</definedName>
    <definedName name="QB_ROW_275320" localSheetId="17" hidden="1">'366'!$C$50</definedName>
    <definedName name="QB_ROW_275320" localSheetId="18" hidden="1">'373'!$C$63</definedName>
    <definedName name="QB_ROW_275320" localSheetId="19" hidden="1">'374'!$C$45</definedName>
    <definedName name="QB_ROW_275320" localSheetId="20" hidden="1">'375'!$C$46</definedName>
    <definedName name="QB_ROW_275320" localSheetId="16" hidden="1">'Al Muhanad Ledger'!$C$166</definedName>
    <definedName name="QB_ROW_277010" localSheetId="17" hidden="1">'366'!$B$40</definedName>
    <definedName name="QB_ROW_277010" localSheetId="18" hidden="1">'373'!$B$50</definedName>
    <definedName name="QB_ROW_277010" localSheetId="19" hidden="1">'374'!$B$34</definedName>
    <definedName name="QB_ROW_277010" localSheetId="20" hidden="1">'375'!$B$33</definedName>
    <definedName name="QB_ROW_277010" localSheetId="16" hidden="1">'Al Muhanad Ledger'!$B$133</definedName>
    <definedName name="QB_ROW_277310" localSheetId="17" hidden="1">'366'!$B$51</definedName>
    <definedName name="QB_ROW_277310" localSheetId="18" hidden="1">'373'!$B$64</definedName>
    <definedName name="QB_ROW_277310" localSheetId="19" hidden="1">'374'!$B$46</definedName>
    <definedName name="QB_ROW_277310" localSheetId="20" hidden="1">'375'!$B$47</definedName>
    <definedName name="QB_ROW_277310" localSheetId="16" hidden="1">'Al Muhanad Ledger'!$B$167</definedName>
    <definedName name="QB_ROW_279030" localSheetId="17" hidden="1">'366'!$D$42</definedName>
    <definedName name="QB_ROW_279030" localSheetId="18" hidden="1">'373'!$D$52</definedName>
    <definedName name="QB_ROW_279030" localSheetId="19" hidden="1">'374'!$D$36</definedName>
    <definedName name="QB_ROW_279030" localSheetId="20" hidden="1">'375'!$D$35</definedName>
    <definedName name="QB_ROW_279030" localSheetId="16" hidden="1">'Al Muhanad Ledger'!$D$135</definedName>
    <definedName name="QB_ROW_279330" localSheetId="17" hidden="1">'366'!$D$49</definedName>
    <definedName name="QB_ROW_279330" localSheetId="18" hidden="1">'373'!$D$62</definedName>
    <definedName name="QB_ROW_279330" localSheetId="19" hidden="1">'374'!$D$41</definedName>
    <definedName name="QB_ROW_279330" localSheetId="20" hidden="1">'375'!$D$41</definedName>
    <definedName name="QB_ROW_279330" localSheetId="16" hidden="1">'Al Muhanad Ledger'!$D$160</definedName>
    <definedName name="QB_ROW_290" localSheetId="14" hidden="1">'Payment Details'!#REF!</definedName>
    <definedName name="QB_ROW_293" localSheetId="14" hidden="1">'Payment Details'!$A$43</definedName>
    <definedName name="QB_ROW_31301" localSheetId="9" hidden="1">'Ledgers 23-08-2023'!$B$68</definedName>
    <definedName name="QB_ROW_31301" localSheetId="13" hidden="1">'Payment Details.'!$A$68</definedName>
    <definedName name="QBCANSUPPORTUPDATE" localSheetId="17">TRUE</definedName>
    <definedName name="QBCANSUPPORTUPDATE" localSheetId="18">TRUE</definedName>
    <definedName name="QBCANSUPPORTUPDATE" localSheetId="19">TRUE</definedName>
    <definedName name="QBCANSUPPORTUPDATE" localSheetId="20">TRUE</definedName>
    <definedName name="QBCANSUPPORTUPDATE" localSheetId="16">TRUE</definedName>
    <definedName name="QBCANSUPPORTUPDATE" localSheetId="9">TRUE</definedName>
    <definedName name="QBCANSUPPORTUPDATE" localSheetId="14">TRUE</definedName>
    <definedName name="QBCANSUPPORTUPDATE" localSheetId="13">TRUE</definedName>
    <definedName name="QBCOMPANYFILENAME" localSheetId="17">"G:\INTHAR SAFETY &amp; SECURITY SYSTEMS LLC.QBW"</definedName>
    <definedName name="QBCOMPANYFILENAME" localSheetId="18">"G:\INTHAR SAFETY &amp; SECURITY SYSTEMS LLC.QBW"</definedName>
    <definedName name="QBCOMPANYFILENAME" localSheetId="19">"G:\INTHAR SAFETY &amp; SECURITY SYSTEMS LLC.QBW"</definedName>
    <definedName name="QBCOMPANYFILENAME" localSheetId="20">"G:\INTHAR SAFETY &amp; SECURITY SYSTEMS LLC.QBW"</definedName>
    <definedName name="QBCOMPANYFILENAME" localSheetId="16">"G:\INTHAR SAFETY &amp; SECURITY SYSTEMS LLC.QBW"</definedName>
    <definedName name="QBCOMPANYFILENAME" localSheetId="9">"G:\INTHAR SAFETY &amp; SECURITY SYSTEMS LLC.QBW"</definedName>
    <definedName name="QBCOMPANYFILENAME" localSheetId="14">"G:\INTHAR SAFETY &amp; SECURITY SYSTEMS LLC.QBW"</definedName>
    <definedName name="QBCOMPANYFILENAME" localSheetId="13">"G:\INTHAR SAFETY &amp; SECURITY SYSTEMS LLC.QBW"</definedName>
    <definedName name="QBHEADERSONSCREEN" localSheetId="17">FALSE</definedName>
    <definedName name="QBHEADERSONSCREEN" localSheetId="18">FALSE</definedName>
    <definedName name="QBHEADERSONSCREEN" localSheetId="19">FALSE</definedName>
    <definedName name="QBHEADERSONSCREEN" localSheetId="20">FALSE</definedName>
    <definedName name="QBHEADERSONSCREEN" localSheetId="16">FALSE</definedName>
    <definedName name="QBHEADERSONSCREEN" localSheetId="9">FALSE</definedName>
    <definedName name="QBHEADERSONSCREEN" localSheetId="14">FALSE</definedName>
    <definedName name="QBHEADERSONSCREEN" localSheetId="13">FALSE</definedName>
    <definedName name="QBMETADATASIZE" localSheetId="17">7478</definedName>
    <definedName name="QBMETADATASIZE" localSheetId="18">7478</definedName>
    <definedName name="QBMETADATASIZE" localSheetId="19">7478</definedName>
    <definedName name="QBMETADATASIZE" localSheetId="20">7478</definedName>
    <definedName name="QBMETADATASIZE" localSheetId="16">7478</definedName>
    <definedName name="QBMETADATASIZE" localSheetId="9">7450</definedName>
    <definedName name="QBMETADATASIZE" localSheetId="14">7450</definedName>
    <definedName name="QBMETADATASIZE" localSheetId="13">7450</definedName>
    <definedName name="QBPRESERVECOLOR" localSheetId="17">TRUE</definedName>
    <definedName name="QBPRESERVECOLOR" localSheetId="18">TRUE</definedName>
    <definedName name="QBPRESERVECOLOR" localSheetId="19">TRUE</definedName>
    <definedName name="QBPRESERVECOLOR" localSheetId="20">TRUE</definedName>
    <definedName name="QBPRESERVECOLOR" localSheetId="16">TRUE</definedName>
    <definedName name="QBPRESERVECOLOR" localSheetId="9">TRUE</definedName>
    <definedName name="QBPRESERVECOLOR" localSheetId="14">TRUE</definedName>
    <definedName name="QBPRESERVECOLOR" localSheetId="13">TRUE</definedName>
    <definedName name="QBPRESERVEFONT" localSheetId="17">TRUE</definedName>
    <definedName name="QBPRESERVEFONT" localSheetId="18">TRUE</definedName>
    <definedName name="QBPRESERVEFONT" localSheetId="19">TRUE</definedName>
    <definedName name="QBPRESERVEFONT" localSheetId="20">TRUE</definedName>
    <definedName name="QBPRESERVEFONT" localSheetId="16">TRUE</definedName>
    <definedName name="QBPRESERVEFONT" localSheetId="9">TRUE</definedName>
    <definedName name="QBPRESERVEFONT" localSheetId="14">TRUE</definedName>
    <definedName name="QBPRESERVEFONT" localSheetId="13">TRUE</definedName>
    <definedName name="QBPRESERVEROWHEIGHT" localSheetId="17">TRUE</definedName>
    <definedName name="QBPRESERVEROWHEIGHT" localSheetId="18">TRUE</definedName>
    <definedName name="QBPRESERVEROWHEIGHT" localSheetId="19">TRUE</definedName>
    <definedName name="QBPRESERVEROWHEIGHT" localSheetId="20">TRUE</definedName>
    <definedName name="QBPRESERVEROWHEIGHT" localSheetId="16">TRUE</definedName>
    <definedName name="QBPRESERVEROWHEIGHT" localSheetId="9">TRUE</definedName>
    <definedName name="QBPRESERVEROWHEIGHT" localSheetId="14">TRUE</definedName>
    <definedName name="QBPRESERVEROWHEIGHT" localSheetId="13">TRUE</definedName>
    <definedName name="QBPRESERVESPACE" localSheetId="17">TRUE</definedName>
    <definedName name="QBPRESERVESPACE" localSheetId="18">TRUE</definedName>
    <definedName name="QBPRESERVESPACE" localSheetId="19">TRUE</definedName>
    <definedName name="QBPRESERVESPACE" localSheetId="20">TRUE</definedName>
    <definedName name="QBPRESERVESPACE" localSheetId="16">TRUE</definedName>
    <definedName name="QBPRESERVESPACE" localSheetId="9">TRUE</definedName>
    <definedName name="QBPRESERVESPACE" localSheetId="14">TRUE</definedName>
    <definedName name="QBPRESERVESPACE" localSheetId="13">TRUE</definedName>
    <definedName name="QBREPORTCOLAXIS" localSheetId="17">0</definedName>
    <definedName name="QBREPORTCOLAXIS" localSheetId="18">0</definedName>
    <definedName name="QBREPORTCOLAXIS" localSheetId="19">0</definedName>
    <definedName name="QBREPORTCOLAXIS" localSheetId="20">0</definedName>
    <definedName name="QBREPORTCOLAXIS" localSheetId="16">0</definedName>
    <definedName name="QBREPORTCOLAXIS" localSheetId="9">0</definedName>
    <definedName name="QBREPORTCOLAXIS" localSheetId="14">0</definedName>
    <definedName name="QBREPORTCOLAXIS" localSheetId="13">0</definedName>
    <definedName name="QBREPORTCOMPANYID" localSheetId="17">"aa8f9a99af5b4d38adaf67c7ed95c801"</definedName>
    <definedName name="QBREPORTCOMPANYID" localSheetId="18">"aa8f9a99af5b4d38adaf67c7ed95c801"</definedName>
    <definedName name="QBREPORTCOMPANYID" localSheetId="19">"aa8f9a99af5b4d38adaf67c7ed95c801"</definedName>
    <definedName name="QBREPORTCOMPANYID" localSheetId="20">"aa8f9a99af5b4d38adaf67c7ed95c801"</definedName>
    <definedName name="QBREPORTCOMPANYID" localSheetId="16">"aa8f9a99af5b4d38adaf67c7ed95c801"</definedName>
    <definedName name="QBREPORTCOMPANYID" localSheetId="9">"aa8f9a99af5b4d38adaf67c7ed95c801"</definedName>
    <definedName name="QBREPORTCOMPANYID" localSheetId="14">"aa8f9a99af5b4d38adaf67c7ed95c801"</definedName>
    <definedName name="QBREPORTCOMPANYID" localSheetId="13">"aa8f9a99af5b4d38adaf67c7ed95c801"</definedName>
    <definedName name="QBREPORTCOMPARECOL_ANNUALBUDGET" localSheetId="17">FALSE</definedName>
    <definedName name="QBREPORTCOMPARECOL_ANNUALBUDGET" localSheetId="18">FALSE</definedName>
    <definedName name="QBREPORTCOMPARECOL_ANNUALBUDGET" localSheetId="19">FALSE</definedName>
    <definedName name="QBREPORTCOMPARECOL_ANNUALBUDGET" localSheetId="20">FALSE</definedName>
    <definedName name="QBREPORTCOMPARECOL_ANNUALBUDGET" localSheetId="16">FALSE</definedName>
    <definedName name="QBREPORTCOMPARECOL_ANNUALBUDGET" localSheetId="9">FALSE</definedName>
    <definedName name="QBREPORTCOMPARECOL_ANNUALBUDGET" localSheetId="14">FALSE</definedName>
    <definedName name="QBREPORTCOMPARECOL_ANNUALBUDGET" localSheetId="13">FALSE</definedName>
    <definedName name="QBREPORTCOMPARECOL_AVGCOGS" localSheetId="17">FALSE</definedName>
    <definedName name="QBREPORTCOMPARECOL_AVGCOGS" localSheetId="18">FALSE</definedName>
    <definedName name="QBREPORTCOMPARECOL_AVGCOGS" localSheetId="19">FALSE</definedName>
    <definedName name="QBREPORTCOMPARECOL_AVGCOGS" localSheetId="20">FALSE</definedName>
    <definedName name="QBREPORTCOMPARECOL_AVGCOGS" localSheetId="16">FALSE</definedName>
    <definedName name="QBREPORTCOMPARECOL_AVGCOGS" localSheetId="9">FALSE</definedName>
    <definedName name="QBREPORTCOMPARECOL_AVGCOGS" localSheetId="14">FALSE</definedName>
    <definedName name="QBREPORTCOMPARECOL_AVGCOGS" localSheetId="13">FALSE</definedName>
    <definedName name="QBREPORTCOMPARECOL_AVGPRICE" localSheetId="17">FALSE</definedName>
    <definedName name="QBREPORTCOMPARECOL_AVGPRICE" localSheetId="18">FALSE</definedName>
    <definedName name="QBREPORTCOMPARECOL_AVGPRICE" localSheetId="19">FALSE</definedName>
    <definedName name="QBREPORTCOMPARECOL_AVGPRICE" localSheetId="20">FALSE</definedName>
    <definedName name="QBREPORTCOMPARECOL_AVGPRICE" localSheetId="16">FALSE</definedName>
    <definedName name="QBREPORTCOMPARECOL_AVGPRICE" localSheetId="9">FALSE</definedName>
    <definedName name="QBREPORTCOMPARECOL_AVGPRICE" localSheetId="14">FALSE</definedName>
    <definedName name="QBREPORTCOMPARECOL_AVGPRICE" localSheetId="13">FALSE</definedName>
    <definedName name="QBREPORTCOMPARECOL_BUDDIFF" localSheetId="17">FALSE</definedName>
    <definedName name="QBREPORTCOMPARECOL_BUDDIFF" localSheetId="18">FALSE</definedName>
    <definedName name="QBREPORTCOMPARECOL_BUDDIFF" localSheetId="19">FALSE</definedName>
    <definedName name="QBREPORTCOMPARECOL_BUDDIFF" localSheetId="20">FALSE</definedName>
    <definedName name="QBREPORTCOMPARECOL_BUDDIFF" localSheetId="16">FALSE</definedName>
    <definedName name="QBREPORTCOMPARECOL_BUDDIFF" localSheetId="9">FALSE</definedName>
    <definedName name="QBREPORTCOMPARECOL_BUDDIFF" localSheetId="14">FALSE</definedName>
    <definedName name="QBREPORTCOMPARECOL_BUDDIFF" localSheetId="13">FALSE</definedName>
    <definedName name="QBREPORTCOMPARECOL_BUDGET" localSheetId="17">FALSE</definedName>
    <definedName name="QBREPORTCOMPARECOL_BUDGET" localSheetId="18">FALSE</definedName>
    <definedName name="QBREPORTCOMPARECOL_BUDGET" localSheetId="19">FALSE</definedName>
    <definedName name="QBREPORTCOMPARECOL_BUDGET" localSheetId="20">FALSE</definedName>
    <definedName name="QBREPORTCOMPARECOL_BUDGET" localSheetId="16">FALSE</definedName>
    <definedName name="QBREPORTCOMPARECOL_BUDGET" localSheetId="9">FALSE</definedName>
    <definedName name="QBREPORTCOMPARECOL_BUDGET" localSheetId="14">FALSE</definedName>
    <definedName name="QBREPORTCOMPARECOL_BUDGET" localSheetId="13">FALSE</definedName>
    <definedName name="QBREPORTCOMPARECOL_BUDPCT" localSheetId="17">FALSE</definedName>
    <definedName name="QBREPORTCOMPARECOL_BUDPCT" localSheetId="18">FALSE</definedName>
    <definedName name="QBREPORTCOMPARECOL_BUDPCT" localSheetId="19">FALSE</definedName>
    <definedName name="QBREPORTCOMPARECOL_BUDPCT" localSheetId="20">FALSE</definedName>
    <definedName name="QBREPORTCOMPARECOL_BUDPCT" localSheetId="16">FALSE</definedName>
    <definedName name="QBREPORTCOMPARECOL_BUDPCT" localSheetId="9">FALSE</definedName>
    <definedName name="QBREPORTCOMPARECOL_BUDPCT" localSheetId="14">FALSE</definedName>
    <definedName name="QBREPORTCOMPARECOL_BUDPCT" localSheetId="13">FALSE</definedName>
    <definedName name="QBREPORTCOMPARECOL_COGS" localSheetId="17">FALSE</definedName>
    <definedName name="QBREPORTCOMPARECOL_COGS" localSheetId="18">FALSE</definedName>
    <definedName name="QBREPORTCOMPARECOL_COGS" localSheetId="19">FALSE</definedName>
    <definedName name="QBREPORTCOMPARECOL_COGS" localSheetId="20">FALSE</definedName>
    <definedName name="QBREPORTCOMPARECOL_COGS" localSheetId="16">FALSE</definedName>
    <definedName name="QBREPORTCOMPARECOL_COGS" localSheetId="9">FALSE</definedName>
    <definedName name="QBREPORTCOMPARECOL_COGS" localSheetId="14">FALSE</definedName>
    <definedName name="QBREPORTCOMPARECOL_COGS" localSheetId="13">FALSE</definedName>
    <definedName name="QBREPORTCOMPARECOL_EXCLUDEAMOUNT" localSheetId="17">FALSE</definedName>
    <definedName name="QBREPORTCOMPARECOL_EXCLUDEAMOUNT" localSheetId="18">FALSE</definedName>
    <definedName name="QBREPORTCOMPARECOL_EXCLUDEAMOUNT" localSheetId="19">FALSE</definedName>
    <definedName name="QBREPORTCOMPARECOL_EXCLUDEAMOUNT" localSheetId="20">FALSE</definedName>
    <definedName name="QBREPORTCOMPARECOL_EXCLUDEAMOUNT" localSheetId="16">FALSE</definedName>
    <definedName name="QBREPORTCOMPARECOL_EXCLUDEAMOUNT" localSheetId="9">FALSE</definedName>
    <definedName name="QBREPORTCOMPARECOL_EXCLUDEAMOUNT" localSheetId="14">FALSE</definedName>
    <definedName name="QBREPORTCOMPARECOL_EXCLUDEAMOUNT" localSheetId="13">FALSE</definedName>
    <definedName name="QBREPORTCOMPARECOL_EXCLUDECURPERIOD" localSheetId="17">FALSE</definedName>
    <definedName name="QBREPORTCOMPARECOL_EXCLUDECURPERIOD" localSheetId="18">FALSE</definedName>
    <definedName name="QBREPORTCOMPARECOL_EXCLUDECURPERIOD" localSheetId="19">FALSE</definedName>
    <definedName name="QBREPORTCOMPARECOL_EXCLUDECURPERIOD" localSheetId="20">FALSE</definedName>
    <definedName name="QBREPORTCOMPARECOL_EXCLUDECURPERIOD" localSheetId="16">FALSE</definedName>
    <definedName name="QBREPORTCOMPARECOL_EXCLUDECURPERIOD" localSheetId="9">FALSE</definedName>
    <definedName name="QBREPORTCOMPARECOL_EXCLUDECURPERIOD" localSheetId="14">FALSE</definedName>
    <definedName name="QBREPORTCOMPARECOL_EXCLUDECURPERIOD" localSheetId="13">FALSE</definedName>
    <definedName name="QBREPORTCOMPARECOL_FORECAST" localSheetId="17">FALSE</definedName>
    <definedName name="QBREPORTCOMPARECOL_FORECAST" localSheetId="18">FALSE</definedName>
    <definedName name="QBREPORTCOMPARECOL_FORECAST" localSheetId="19">FALSE</definedName>
    <definedName name="QBREPORTCOMPARECOL_FORECAST" localSheetId="20">FALSE</definedName>
    <definedName name="QBREPORTCOMPARECOL_FORECAST" localSheetId="16">FALSE</definedName>
    <definedName name="QBREPORTCOMPARECOL_FORECAST" localSheetId="9">FALSE</definedName>
    <definedName name="QBREPORTCOMPARECOL_FORECAST" localSheetId="14">FALSE</definedName>
    <definedName name="QBREPORTCOMPARECOL_FORECAST" localSheetId="13">FALSE</definedName>
    <definedName name="QBREPORTCOMPARECOL_GROSSMARGIN" localSheetId="17">FALSE</definedName>
    <definedName name="QBREPORTCOMPARECOL_GROSSMARGIN" localSheetId="18">FALSE</definedName>
    <definedName name="QBREPORTCOMPARECOL_GROSSMARGIN" localSheetId="19">FALSE</definedName>
    <definedName name="QBREPORTCOMPARECOL_GROSSMARGIN" localSheetId="20">FALSE</definedName>
    <definedName name="QBREPORTCOMPARECOL_GROSSMARGIN" localSheetId="16">FALSE</definedName>
    <definedName name="QBREPORTCOMPARECOL_GROSSMARGIN" localSheetId="9">FALSE</definedName>
    <definedName name="QBREPORTCOMPARECOL_GROSSMARGIN" localSheetId="14">FALSE</definedName>
    <definedName name="QBREPORTCOMPARECOL_GROSSMARGIN" localSheetId="13">FALSE</definedName>
    <definedName name="QBREPORTCOMPARECOL_GROSSMARGINPCT" localSheetId="17">FALSE</definedName>
    <definedName name="QBREPORTCOMPARECOL_GROSSMARGINPCT" localSheetId="18">FALSE</definedName>
    <definedName name="QBREPORTCOMPARECOL_GROSSMARGINPCT" localSheetId="19">FALSE</definedName>
    <definedName name="QBREPORTCOMPARECOL_GROSSMARGINPCT" localSheetId="20">FALSE</definedName>
    <definedName name="QBREPORTCOMPARECOL_GROSSMARGINPCT" localSheetId="16">FALSE</definedName>
    <definedName name="QBREPORTCOMPARECOL_GROSSMARGINPCT" localSheetId="9">FALSE</definedName>
    <definedName name="QBREPORTCOMPARECOL_GROSSMARGINPCT" localSheetId="14">FALSE</definedName>
    <definedName name="QBREPORTCOMPARECOL_GROSSMARGINPCT" localSheetId="13">FALSE</definedName>
    <definedName name="QBREPORTCOMPARECOL_HOURS" localSheetId="17">FALSE</definedName>
    <definedName name="QBREPORTCOMPARECOL_HOURS" localSheetId="18">FALSE</definedName>
    <definedName name="QBREPORTCOMPARECOL_HOURS" localSheetId="19">FALSE</definedName>
    <definedName name="QBREPORTCOMPARECOL_HOURS" localSheetId="20">FALSE</definedName>
    <definedName name="QBREPORTCOMPARECOL_HOURS" localSheetId="16">FALSE</definedName>
    <definedName name="QBREPORTCOMPARECOL_HOURS" localSheetId="9">FALSE</definedName>
    <definedName name="QBREPORTCOMPARECOL_HOURS" localSheetId="14">FALSE</definedName>
    <definedName name="QBREPORTCOMPARECOL_HOURS" localSheetId="13">FALSE</definedName>
    <definedName name="QBREPORTCOMPARECOL_PCTCOL" localSheetId="17">FALSE</definedName>
    <definedName name="QBREPORTCOMPARECOL_PCTCOL" localSheetId="18">FALSE</definedName>
    <definedName name="QBREPORTCOMPARECOL_PCTCOL" localSheetId="19">FALSE</definedName>
    <definedName name="QBREPORTCOMPARECOL_PCTCOL" localSheetId="20">FALSE</definedName>
    <definedName name="QBREPORTCOMPARECOL_PCTCOL" localSheetId="16">FALSE</definedName>
    <definedName name="QBREPORTCOMPARECOL_PCTCOL" localSheetId="9">FALSE</definedName>
    <definedName name="QBREPORTCOMPARECOL_PCTCOL" localSheetId="14">FALSE</definedName>
    <definedName name="QBREPORTCOMPARECOL_PCTCOL" localSheetId="13">FALSE</definedName>
    <definedName name="QBREPORTCOMPARECOL_PCTEXPENSE" localSheetId="17">FALSE</definedName>
    <definedName name="QBREPORTCOMPARECOL_PCTEXPENSE" localSheetId="18">FALSE</definedName>
    <definedName name="QBREPORTCOMPARECOL_PCTEXPENSE" localSheetId="19">FALSE</definedName>
    <definedName name="QBREPORTCOMPARECOL_PCTEXPENSE" localSheetId="20">FALSE</definedName>
    <definedName name="QBREPORTCOMPARECOL_PCTEXPENSE" localSheetId="16">FALSE</definedName>
    <definedName name="QBREPORTCOMPARECOL_PCTEXPENSE" localSheetId="9">FALSE</definedName>
    <definedName name="QBREPORTCOMPARECOL_PCTEXPENSE" localSheetId="14">FALSE</definedName>
    <definedName name="QBREPORTCOMPARECOL_PCTEXPENSE" localSheetId="13">FALSE</definedName>
    <definedName name="QBREPORTCOMPARECOL_PCTINCOME" localSheetId="17">FALSE</definedName>
    <definedName name="QBREPORTCOMPARECOL_PCTINCOME" localSheetId="18">FALSE</definedName>
    <definedName name="QBREPORTCOMPARECOL_PCTINCOME" localSheetId="19">FALSE</definedName>
    <definedName name="QBREPORTCOMPARECOL_PCTINCOME" localSheetId="20">FALSE</definedName>
    <definedName name="QBREPORTCOMPARECOL_PCTINCOME" localSheetId="16">FALSE</definedName>
    <definedName name="QBREPORTCOMPARECOL_PCTINCOME" localSheetId="9">FALSE</definedName>
    <definedName name="QBREPORTCOMPARECOL_PCTINCOME" localSheetId="14">FALSE</definedName>
    <definedName name="QBREPORTCOMPARECOL_PCTINCOME" localSheetId="13">FALSE</definedName>
    <definedName name="QBREPORTCOMPARECOL_PCTOFSALES" localSheetId="17">FALSE</definedName>
    <definedName name="QBREPORTCOMPARECOL_PCTOFSALES" localSheetId="18">FALSE</definedName>
    <definedName name="QBREPORTCOMPARECOL_PCTOFSALES" localSheetId="19">FALSE</definedName>
    <definedName name="QBREPORTCOMPARECOL_PCTOFSALES" localSheetId="20">FALSE</definedName>
    <definedName name="QBREPORTCOMPARECOL_PCTOFSALES" localSheetId="16">FALSE</definedName>
    <definedName name="QBREPORTCOMPARECOL_PCTOFSALES" localSheetId="9">FALSE</definedName>
    <definedName name="QBREPORTCOMPARECOL_PCTOFSALES" localSheetId="14">FALSE</definedName>
    <definedName name="QBREPORTCOMPARECOL_PCTOFSALES" localSheetId="13">FALSE</definedName>
    <definedName name="QBREPORTCOMPARECOL_PCTROW" localSheetId="17">FALSE</definedName>
    <definedName name="QBREPORTCOMPARECOL_PCTROW" localSheetId="18">FALSE</definedName>
    <definedName name="QBREPORTCOMPARECOL_PCTROW" localSheetId="19">FALSE</definedName>
    <definedName name="QBREPORTCOMPARECOL_PCTROW" localSheetId="20">FALSE</definedName>
    <definedName name="QBREPORTCOMPARECOL_PCTROW" localSheetId="16">FALSE</definedName>
    <definedName name="QBREPORTCOMPARECOL_PCTROW" localSheetId="9">FALSE</definedName>
    <definedName name="QBREPORTCOMPARECOL_PCTROW" localSheetId="14">FALSE</definedName>
    <definedName name="QBREPORTCOMPARECOL_PCTROW" localSheetId="13">FALSE</definedName>
    <definedName name="QBREPORTCOMPARECOL_PPDIFF" localSheetId="17">FALSE</definedName>
    <definedName name="QBREPORTCOMPARECOL_PPDIFF" localSheetId="18">FALSE</definedName>
    <definedName name="QBREPORTCOMPARECOL_PPDIFF" localSheetId="19">FALSE</definedName>
    <definedName name="QBREPORTCOMPARECOL_PPDIFF" localSheetId="20">FALSE</definedName>
    <definedName name="QBREPORTCOMPARECOL_PPDIFF" localSheetId="16">FALSE</definedName>
    <definedName name="QBREPORTCOMPARECOL_PPDIFF" localSheetId="9">FALSE</definedName>
    <definedName name="QBREPORTCOMPARECOL_PPDIFF" localSheetId="14">FALSE</definedName>
    <definedName name="QBREPORTCOMPARECOL_PPDIFF" localSheetId="13">FALSE</definedName>
    <definedName name="QBREPORTCOMPARECOL_PPPCT" localSheetId="17">FALSE</definedName>
    <definedName name="QBREPORTCOMPARECOL_PPPCT" localSheetId="18">FALSE</definedName>
    <definedName name="QBREPORTCOMPARECOL_PPPCT" localSheetId="19">FALSE</definedName>
    <definedName name="QBREPORTCOMPARECOL_PPPCT" localSheetId="20">FALSE</definedName>
    <definedName name="QBREPORTCOMPARECOL_PPPCT" localSheetId="16">FALSE</definedName>
    <definedName name="QBREPORTCOMPARECOL_PPPCT" localSheetId="9">FALSE</definedName>
    <definedName name="QBREPORTCOMPARECOL_PPPCT" localSheetId="14">FALSE</definedName>
    <definedName name="QBREPORTCOMPARECOL_PPPCT" localSheetId="13">FALSE</definedName>
    <definedName name="QBREPORTCOMPARECOL_PREVPERIOD" localSheetId="17">FALSE</definedName>
    <definedName name="QBREPORTCOMPARECOL_PREVPERIOD" localSheetId="18">FALSE</definedName>
    <definedName name="QBREPORTCOMPARECOL_PREVPERIOD" localSheetId="19">FALSE</definedName>
    <definedName name="QBREPORTCOMPARECOL_PREVPERIOD" localSheetId="20">FALSE</definedName>
    <definedName name="QBREPORTCOMPARECOL_PREVPERIOD" localSheetId="16">FALSE</definedName>
    <definedName name="QBREPORTCOMPARECOL_PREVPERIOD" localSheetId="9">FALSE</definedName>
    <definedName name="QBREPORTCOMPARECOL_PREVPERIOD" localSheetId="14">FALSE</definedName>
    <definedName name="QBREPORTCOMPARECOL_PREVPERIOD" localSheetId="13">FALSE</definedName>
    <definedName name="QBREPORTCOMPARECOL_PREVYEAR" localSheetId="17">FALSE</definedName>
    <definedName name="QBREPORTCOMPARECOL_PREVYEAR" localSheetId="18">FALSE</definedName>
    <definedName name="QBREPORTCOMPARECOL_PREVYEAR" localSheetId="19">FALSE</definedName>
    <definedName name="QBREPORTCOMPARECOL_PREVYEAR" localSheetId="20">FALSE</definedName>
    <definedName name="QBREPORTCOMPARECOL_PREVYEAR" localSheetId="16">FALSE</definedName>
    <definedName name="QBREPORTCOMPARECOL_PREVYEAR" localSheetId="9">FALSE</definedName>
    <definedName name="QBREPORTCOMPARECOL_PREVYEAR" localSheetId="14">FALSE</definedName>
    <definedName name="QBREPORTCOMPARECOL_PREVYEAR" localSheetId="13">FALSE</definedName>
    <definedName name="QBREPORTCOMPARECOL_PYDIFF" localSheetId="17">FALSE</definedName>
    <definedName name="QBREPORTCOMPARECOL_PYDIFF" localSheetId="18">FALSE</definedName>
    <definedName name="QBREPORTCOMPARECOL_PYDIFF" localSheetId="19">FALSE</definedName>
    <definedName name="QBREPORTCOMPARECOL_PYDIFF" localSheetId="20">FALSE</definedName>
    <definedName name="QBREPORTCOMPARECOL_PYDIFF" localSheetId="16">FALSE</definedName>
    <definedName name="QBREPORTCOMPARECOL_PYDIFF" localSheetId="9">FALSE</definedName>
    <definedName name="QBREPORTCOMPARECOL_PYDIFF" localSheetId="14">FALSE</definedName>
    <definedName name="QBREPORTCOMPARECOL_PYDIFF" localSheetId="13">FALSE</definedName>
    <definedName name="QBREPORTCOMPARECOL_PYPCT" localSheetId="17">FALSE</definedName>
    <definedName name="QBREPORTCOMPARECOL_PYPCT" localSheetId="18">FALSE</definedName>
    <definedName name="QBREPORTCOMPARECOL_PYPCT" localSheetId="19">FALSE</definedName>
    <definedName name="QBREPORTCOMPARECOL_PYPCT" localSheetId="20">FALSE</definedName>
    <definedName name="QBREPORTCOMPARECOL_PYPCT" localSheetId="16">FALSE</definedName>
    <definedName name="QBREPORTCOMPARECOL_PYPCT" localSheetId="9">FALSE</definedName>
    <definedName name="QBREPORTCOMPARECOL_PYPCT" localSheetId="14">FALSE</definedName>
    <definedName name="QBREPORTCOMPARECOL_PYPCT" localSheetId="13">FALSE</definedName>
    <definedName name="QBREPORTCOMPARECOL_QTY" localSheetId="17">FALSE</definedName>
    <definedName name="QBREPORTCOMPARECOL_QTY" localSheetId="18">FALSE</definedName>
    <definedName name="QBREPORTCOMPARECOL_QTY" localSheetId="19">FALSE</definedName>
    <definedName name="QBREPORTCOMPARECOL_QTY" localSheetId="20">FALSE</definedName>
    <definedName name="QBREPORTCOMPARECOL_QTY" localSheetId="16">FALSE</definedName>
    <definedName name="QBREPORTCOMPARECOL_QTY" localSheetId="9">FALSE</definedName>
    <definedName name="QBREPORTCOMPARECOL_QTY" localSheetId="14">FALSE</definedName>
    <definedName name="QBREPORTCOMPARECOL_QTY" localSheetId="13">FALSE</definedName>
    <definedName name="QBREPORTCOMPARECOL_RATE" localSheetId="17">FALSE</definedName>
    <definedName name="QBREPORTCOMPARECOL_RATE" localSheetId="18">FALSE</definedName>
    <definedName name="QBREPORTCOMPARECOL_RATE" localSheetId="19">FALSE</definedName>
    <definedName name="QBREPORTCOMPARECOL_RATE" localSheetId="20">FALSE</definedName>
    <definedName name="QBREPORTCOMPARECOL_RATE" localSheetId="16">FALSE</definedName>
    <definedName name="QBREPORTCOMPARECOL_RATE" localSheetId="9">FALSE</definedName>
    <definedName name="QBREPORTCOMPARECOL_RATE" localSheetId="14">FALSE</definedName>
    <definedName name="QBREPORTCOMPARECOL_RATE" localSheetId="13">FALSE</definedName>
    <definedName name="QBREPORTCOMPARECOL_TRIPBILLEDMILES" localSheetId="17">FALSE</definedName>
    <definedName name="QBREPORTCOMPARECOL_TRIPBILLEDMILES" localSheetId="18">FALSE</definedName>
    <definedName name="QBREPORTCOMPARECOL_TRIPBILLEDMILES" localSheetId="19">FALSE</definedName>
    <definedName name="QBREPORTCOMPARECOL_TRIPBILLEDMILES" localSheetId="20">FALSE</definedName>
    <definedName name="QBREPORTCOMPARECOL_TRIPBILLEDMILES" localSheetId="16">FALSE</definedName>
    <definedName name="QBREPORTCOMPARECOL_TRIPBILLEDMILES" localSheetId="9">FALSE</definedName>
    <definedName name="QBREPORTCOMPARECOL_TRIPBILLEDMILES" localSheetId="14">FALSE</definedName>
    <definedName name="QBREPORTCOMPARECOL_TRIPBILLEDMILES" localSheetId="13">FALSE</definedName>
    <definedName name="QBREPORTCOMPARECOL_TRIPBILLINGAMOUNT" localSheetId="17">FALSE</definedName>
    <definedName name="QBREPORTCOMPARECOL_TRIPBILLINGAMOUNT" localSheetId="18">FALSE</definedName>
    <definedName name="QBREPORTCOMPARECOL_TRIPBILLINGAMOUNT" localSheetId="19">FALSE</definedName>
    <definedName name="QBREPORTCOMPARECOL_TRIPBILLINGAMOUNT" localSheetId="20">FALSE</definedName>
    <definedName name="QBREPORTCOMPARECOL_TRIPBILLINGAMOUNT" localSheetId="16">FALSE</definedName>
    <definedName name="QBREPORTCOMPARECOL_TRIPBILLINGAMOUNT" localSheetId="9">FALSE</definedName>
    <definedName name="QBREPORTCOMPARECOL_TRIPBILLINGAMOUNT" localSheetId="14">FALSE</definedName>
    <definedName name="QBREPORTCOMPARECOL_TRIPBILLINGAMOUNT" localSheetId="13">FALSE</definedName>
    <definedName name="QBREPORTCOMPARECOL_TRIPMILES" localSheetId="17">FALSE</definedName>
    <definedName name="QBREPORTCOMPARECOL_TRIPMILES" localSheetId="18">FALSE</definedName>
    <definedName name="QBREPORTCOMPARECOL_TRIPMILES" localSheetId="19">FALSE</definedName>
    <definedName name="QBREPORTCOMPARECOL_TRIPMILES" localSheetId="20">FALSE</definedName>
    <definedName name="QBREPORTCOMPARECOL_TRIPMILES" localSheetId="16">FALSE</definedName>
    <definedName name="QBREPORTCOMPARECOL_TRIPMILES" localSheetId="9">FALSE</definedName>
    <definedName name="QBREPORTCOMPARECOL_TRIPMILES" localSheetId="14">FALSE</definedName>
    <definedName name="QBREPORTCOMPARECOL_TRIPMILES" localSheetId="13">FALSE</definedName>
    <definedName name="QBREPORTCOMPARECOL_TRIPNOTBILLABLEMILES" localSheetId="17">FALSE</definedName>
    <definedName name="QBREPORTCOMPARECOL_TRIPNOTBILLABLEMILES" localSheetId="18">FALSE</definedName>
    <definedName name="QBREPORTCOMPARECOL_TRIPNOTBILLABLEMILES" localSheetId="19">FALSE</definedName>
    <definedName name="QBREPORTCOMPARECOL_TRIPNOTBILLABLEMILES" localSheetId="20">FALSE</definedName>
    <definedName name="QBREPORTCOMPARECOL_TRIPNOTBILLABLEMILES" localSheetId="16">FALSE</definedName>
    <definedName name="QBREPORTCOMPARECOL_TRIPNOTBILLABLEMILES" localSheetId="9">FALSE</definedName>
    <definedName name="QBREPORTCOMPARECOL_TRIPNOTBILLABLEMILES" localSheetId="14">FALSE</definedName>
    <definedName name="QBREPORTCOMPARECOL_TRIPNOTBILLABLEMILES" localSheetId="13">FALSE</definedName>
    <definedName name="QBREPORTCOMPARECOL_TRIPTAXDEDUCTIBLEAMOUNT" localSheetId="17">FALSE</definedName>
    <definedName name="QBREPORTCOMPARECOL_TRIPTAXDEDUCTIBLEAMOUNT" localSheetId="18">FALSE</definedName>
    <definedName name="QBREPORTCOMPARECOL_TRIPTAXDEDUCTIBLEAMOUNT" localSheetId="19">FALSE</definedName>
    <definedName name="QBREPORTCOMPARECOL_TRIPTAXDEDUCTIBLEAMOUNT" localSheetId="20">FALSE</definedName>
    <definedName name="QBREPORTCOMPARECOL_TRIPTAXDEDUCTIBLEAMOUNT" localSheetId="16">FALSE</definedName>
    <definedName name="QBREPORTCOMPARECOL_TRIPTAXDEDUCTIBLEAMOUNT" localSheetId="9">FALSE</definedName>
    <definedName name="QBREPORTCOMPARECOL_TRIPTAXDEDUCTIBLEAMOUNT" localSheetId="14">FALSE</definedName>
    <definedName name="QBREPORTCOMPARECOL_TRIPTAXDEDUCTIBLEAMOUNT" localSheetId="13">FALSE</definedName>
    <definedName name="QBREPORTCOMPARECOL_TRIPUNBILLEDMILES" localSheetId="17">FALSE</definedName>
    <definedName name="QBREPORTCOMPARECOL_TRIPUNBILLEDMILES" localSheetId="18">FALSE</definedName>
    <definedName name="QBREPORTCOMPARECOL_TRIPUNBILLEDMILES" localSheetId="19">FALSE</definedName>
    <definedName name="QBREPORTCOMPARECOL_TRIPUNBILLEDMILES" localSheetId="20">FALSE</definedName>
    <definedName name="QBREPORTCOMPARECOL_TRIPUNBILLEDMILES" localSheetId="16">FALSE</definedName>
    <definedName name="QBREPORTCOMPARECOL_TRIPUNBILLEDMILES" localSheetId="9">FALSE</definedName>
    <definedName name="QBREPORTCOMPARECOL_TRIPUNBILLEDMILES" localSheetId="14">FALSE</definedName>
    <definedName name="QBREPORTCOMPARECOL_TRIPUNBILLEDMILES" localSheetId="13">FALSE</definedName>
    <definedName name="QBREPORTCOMPARECOL_YTD" localSheetId="17">FALSE</definedName>
    <definedName name="QBREPORTCOMPARECOL_YTD" localSheetId="18">FALSE</definedName>
    <definedName name="QBREPORTCOMPARECOL_YTD" localSheetId="19">FALSE</definedName>
    <definedName name="QBREPORTCOMPARECOL_YTD" localSheetId="20">FALSE</definedName>
    <definedName name="QBREPORTCOMPARECOL_YTD" localSheetId="16">FALSE</definedName>
    <definedName name="QBREPORTCOMPARECOL_YTD" localSheetId="9">FALSE</definedName>
    <definedName name="QBREPORTCOMPARECOL_YTD" localSheetId="14">FALSE</definedName>
    <definedName name="QBREPORTCOMPARECOL_YTD" localSheetId="13">FALSE</definedName>
    <definedName name="QBREPORTCOMPARECOL_YTDBUDGET" localSheetId="17">FALSE</definedName>
    <definedName name="QBREPORTCOMPARECOL_YTDBUDGET" localSheetId="18">FALSE</definedName>
    <definedName name="QBREPORTCOMPARECOL_YTDBUDGET" localSheetId="19">FALSE</definedName>
    <definedName name="QBREPORTCOMPARECOL_YTDBUDGET" localSheetId="20">FALSE</definedName>
    <definedName name="QBREPORTCOMPARECOL_YTDBUDGET" localSheetId="16">FALSE</definedName>
    <definedName name="QBREPORTCOMPARECOL_YTDBUDGET" localSheetId="9">FALSE</definedName>
    <definedName name="QBREPORTCOMPARECOL_YTDBUDGET" localSheetId="14">FALSE</definedName>
    <definedName name="QBREPORTCOMPARECOL_YTDBUDGET" localSheetId="13">FALSE</definedName>
    <definedName name="QBREPORTCOMPARECOL_YTDPCT" localSheetId="17">FALSE</definedName>
    <definedName name="QBREPORTCOMPARECOL_YTDPCT" localSheetId="18">FALSE</definedName>
    <definedName name="QBREPORTCOMPARECOL_YTDPCT" localSheetId="19">FALSE</definedName>
    <definedName name="QBREPORTCOMPARECOL_YTDPCT" localSheetId="20">FALSE</definedName>
    <definedName name="QBREPORTCOMPARECOL_YTDPCT" localSheetId="16">FALSE</definedName>
    <definedName name="QBREPORTCOMPARECOL_YTDPCT" localSheetId="9">FALSE</definedName>
    <definedName name="QBREPORTCOMPARECOL_YTDPCT" localSheetId="14">FALSE</definedName>
    <definedName name="QBREPORTCOMPARECOL_YTDPCT" localSheetId="13">FALSE</definedName>
    <definedName name="QBREPORTROWAXIS" localSheetId="17">12</definedName>
    <definedName name="QBREPORTROWAXIS" localSheetId="18">12</definedName>
    <definedName name="QBREPORTROWAXIS" localSheetId="19">12</definedName>
    <definedName name="QBREPORTROWAXIS" localSheetId="20">12</definedName>
    <definedName name="QBREPORTROWAXIS" localSheetId="16">12</definedName>
    <definedName name="QBREPORTROWAXIS" localSheetId="9">13</definedName>
    <definedName name="QBREPORTROWAXIS" localSheetId="14">0</definedName>
    <definedName name="QBREPORTROWAXIS" localSheetId="13">13</definedName>
    <definedName name="QBREPORTSUBCOLAXIS" localSheetId="17">0</definedName>
    <definedName name="QBREPORTSUBCOLAXIS" localSheetId="18">0</definedName>
    <definedName name="QBREPORTSUBCOLAXIS" localSheetId="19">0</definedName>
    <definedName name="QBREPORTSUBCOLAXIS" localSheetId="20">0</definedName>
    <definedName name="QBREPORTSUBCOLAXIS" localSheetId="16">0</definedName>
    <definedName name="QBREPORTSUBCOLAXIS" localSheetId="9">0</definedName>
    <definedName name="QBREPORTSUBCOLAXIS" localSheetId="14">0</definedName>
    <definedName name="QBREPORTSUBCOLAXIS" localSheetId="13">0</definedName>
    <definedName name="QBREPORTTYPE" localSheetId="17">23</definedName>
    <definedName name="QBREPORTTYPE" localSheetId="18">23</definedName>
    <definedName name="QBREPORTTYPE" localSheetId="19">23</definedName>
    <definedName name="QBREPORTTYPE" localSheetId="20">23</definedName>
    <definedName name="QBREPORTTYPE" localSheetId="16">23</definedName>
    <definedName name="QBREPORTTYPE" localSheetId="9">23</definedName>
    <definedName name="QBREPORTTYPE" localSheetId="14">23</definedName>
    <definedName name="QBREPORTTYPE" localSheetId="13">23</definedName>
    <definedName name="QBROWHEADERS" localSheetId="17">4</definedName>
    <definedName name="QBROWHEADERS" localSheetId="18">4</definedName>
    <definedName name="QBROWHEADERS" localSheetId="19">4</definedName>
    <definedName name="QBROWHEADERS" localSheetId="20">4</definedName>
    <definedName name="QBROWHEADERS" localSheetId="16">4</definedName>
    <definedName name="QBROWHEADERS" localSheetId="9">3</definedName>
    <definedName name="QBROWHEADERS" localSheetId="14">1</definedName>
    <definedName name="QBROWHEADERS" localSheetId="13">3</definedName>
  </definedNames>
  <calcPr calcId="152511"/>
</workbook>
</file>

<file path=xl/calcChain.xml><?xml version="1.0" encoding="utf-8"?>
<calcChain xmlns="http://schemas.openxmlformats.org/spreadsheetml/2006/main">
  <c r="C34" i="28" l="1"/>
  <c r="C33" i="28"/>
  <c r="C32" i="28"/>
  <c r="C31" i="28"/>
  <c r="C26" i="28"/>
  <c r="C28" i="28" s="1"/>
  <c r="C19" i="28"/>
  <c r="D41" i="26"/>
  <c r="C41" i="26"/>
  <c r="D42" i="26"/>
  <c r="E42" i="26"/>
  <c r="F42" i="26"/>
  <c r="F20" i="26" s="1"/>
  <c r="C42" i="26"/>
  <c r="D40" i="26"/>
  <c r="G40" i="26" s="1"/>
  <c r="D39" i="26"/>
  <c r="E51" i="26"/>
  <c r="C20" i="26"/>
  <c r="C21" i="26" s="1"/>
  <c r="C19" i="26"/>
  <c r="C32" i="26"/>
  <c r="C33" i="26"/>
  <c r="C35" i="26"/>
  <c r="C46" i="26"/>
  <c r="E19" i="26"/>
  <c r="E32" i="26"/>
  <c r="E35" i="26" s="1"/>
  <c r="E33" i="26"/>
  <c r="F19" i="26"/>
  <c r="F33" i="26"/>
  <c r="F35" i="26" s="1"/>
  <c r="G62" i="26"/>
  <c r="G75" i="26" s="1"/>
  <c r="G50" i="26"/>
  <c r="G49" i="26"/>
  <c r="G48" i="26"/>
  <c r="G47" i="26"/>
  <c r="G46" i="26"/>
  <c r="G45" i="26"/>
  <c r="G44" i="26"/>
  <c r="G43" i="26"/>
  <c r="G34" i="26"/>
  <c r="D33" i="26"/>
  <c r="D35" i="26" s="1"/>
  <c r="G32" i="26"/>
  <c r="D19" i="26"/>
  <c r="G12" i="26"/>
  <c r="G4" i="26"/>
  <c r="G8" i="26" s="1"/>
  <c r="C35" i="28" l="1"/>
  <c r="C37" i="28" s="1"/>
  <c r="C20" i="28"/>
  <c r="C21" i="28" s="1"/>
  <c r="G41" i="26"/>
  <c r="C51" i="26"/>
  <c r="C53" i="26" s="1"/>
  <c r="E20" i="26"/>
  <c r="E21" i="26" s="1"/>
  <c r="G42" i="26"/>
  <c r="F51" i="26"/>
  <c r="F53" i="26" s="1"/>
  <c r="D51" i="26"/>
  <c r="D53" i="26" s="1"/>
  <c r="G39" i="26"/>
  <c r="D20" i="26"/>
  <c r="D21" i="26" s="1"/>
  <c r="E53" i="26"/>
  <c r="F21" i="26"/>
  <c r="G19" i="26"/>
  <c r="G33" i="26"/>
  <c r="G35" i="26"/>
  <c r="G51" i="26" l="1"/>
  <c r="G53" i="26" s="1"/>
  <c r="G20" i="26"/>
  <c r="G27" i="24"/>
  <c r="C13" i="28" l="1"/>
  <c r="D13" i="26"/>
  <c r="G29" i="24"/>
  <c r="E15" i="28"/>
  <c r="F15" i="28" s="1"/>
  <c r="G22" i="28"/>
  <c r="G23" i="28"/>
  <c r="H23" i="28"/>
  <c r="H22" i="28"/>
  <c r="D20" i="28"/>
  <c r="H20" i="26"/>
  <c r="G21" i="26"/>
  <c r="D19" i="23"/>
  <c r="D35" i="23"/>
  <c r="E35" i="23"/>
  <c r="F35" i="23"/>
  <c r="G35" i="23"/>
  <c r="C35" i="23"/>
  <c r="G34" i="23"/>
  <c r="J13" i="26" l="1"/>
  <c r="D14" i="26"/>
  <c r="F13" i="28"/>
  <c r="C14" i="28"/>
  <c r="C15" i="28" s="1"/>
  <c r="C16" i="28" s="1"/>
  <c r="C17" i="28" s="1"/>
  <c r="C18" i="28" s="1"/>
  <c r="C22" i="28" s="1"/>
  <c r="F23" i="28" s="1"/>
  <c r="D14" i="28"/>
  <c r="G4" i="25"/>
  <c r="G8" i="25" s="1"/>
  <c r="G12" i="25"/>
  <c r="C19" i="25"/>
  <c r="D19" i="25"/>
  <c r="E19" i="25"/>
  <c r="F19" i="25"/>
  <c r="F21" i="25" s="1"/>
  <c r="G19" i="25"/>
  <c r="C20" i="25"/>
  <c r="G20" i="25" s="1"/>
  <c r="H20" i="25" s="1"/>
  <c r="D20" i="25"/>
  <c r="E20" i="25"/>
  <c r="F20" i="25"/>
  <c r="D21" i="25"/>
  <c r="E21" i="25"/>
  <c r="C32" i="25"/>
  <c r="G32" i="25" s="1"/>
  <c r="G34" i="25" s="1"/>
  <c r="E32" i="25"/>
  <c r="E34" i="25" s="1"/>
  <c r="C33" i="25"/>
  <c r="D33" i="25"/>
  <c r="G33" i="25" s="1"/>
  <c r="E33" i="25"/>
  <c r="F33" i="25"/>
  <c r="F34" i="25" s="1"/>
  <c r="C34" i="25"/>
  <c r="G38" i="25"/>
  <c r="G39" i="25"/>
  <c r="G40" i="25"/>
  <c r="G41" i="25"/>
  <c r="G42" i="25"/>
  <c r="G43" i="25"/>
  <c r="G44" i="25"/>
  <c r="C45" i="25"/>
  <c r="C50" i="25" s="1"/>
  <c r="C52" i="25" s="1"/>
  <c r="G45" i="25"/>
  <c r="G46" i="25"/>
  <c r="G47" i="25"/>
  <c r="G48" i="25"/>
  <c r="G49" i="25"/>
  <c r="D50" i="25"/>
  <c r="E50" i="25"/>
  <c r="F50" i="25"/>
  <c r="F52" i="25" s="1"/>
  <c r="G50" i="25"/>
  <c r="G61" i="25"/>
  <c r="G74" i="25"/>
  <c r="F19" i="23"/>
  <c r="E19" i="23"/>
  <c r="C19" i="23"/>
  <c r="F22" i="28" l="1"/>
  <c r="H6" i="28"/>
  <c r="D16" i="28"/>
  <c r="D17" i="28"/>
  <c r="D15" i="26"/>
  <c r="G21" i="25"/>
  <c r="E52" i="25"/>
  <c r="G52" i="25"/>
  <c r="C21" i="25"/>
  <c r="D34" i="25"/>
  <c r="D52" i="25" s="1"/>
  <c r="D25" i="26" l="1"/>
  <c r="D16" i="26"/>
  <c r="D22" i="28"/>
  <c r="D18" i="28"/>
  <c r="E23" i="28"/>
  <c r="E22" i="28"/>
  <c r="H21" i="25"/>
  <c r="G75" i="23"/>
  <c r="G62" i="23"/>
  <c r="D17" i="26" l="1"/>
  <c r="I23" i="28"/>
  <c r="D23" i="28"/>
  <c r="I22" i="28"/>
  <c r="G12" i="24"/>
  <c r="G35" i="24"/>
  <c r="G42" i="24"/>
  <c r="G50" i="23"/>
  <c r="G49" i="23"/>
  <c r="G48" i="23"/>
  <c r="G47" i="23"/>
  <c r="G45" i="23"/>
  <c r="G44" i="23"/>
  <c r="G43" i="23"/>
  <c r="G42" i="23"/>
  <c r="G41" i="23"/>
  <c r="G40" i="23"/>
  <c r="G4" i="23"/>
  <c r="G8" i="23" s="1"/>
  <c r="G12" i="23"/>
  <c r="D20" i="23"/>
  <c r="E20" i="23"/>
  <c r="F20" i="23"/>
  <c r="C32" i="23"/>
  <c r="E32" i="23"/>
  <c r="C33" i="23"/>
  <c r="D33" i="23"/>
  <c r="E33" i="23"/>
  <c r="F33" i="23"/>
  <c r="G39" i="23"/>
  <c r="C46" i="23"/>
  <c r="C20" i="23" s="1"/>
  <c r="D51" i="23"/>
  <c r="E51" i="23"/>
  <c r="F51" i="23"/>
  <c r="D44" i="21"/>
  <c r="E13" i="28" l="1"/>
  <c r="C13" i="26"/>
  <c r="C13" i="25"/>
  <c r="F13" i="26"/>
  <c r="H13" i="28"/>
  <c r="F13" i="25"/>
  <c r="F13" i="23"/>
  <c r="L13" i="23" s="1"/>
  <c r="K13" i="23"/>
  <c r="E13" i="26"/>
  <c r="G13" i="28"/>
  <c r="E13" i="25"/>
  <c r="E13" i="23"/>
  <c r="D18" i="26"/>
  <c r="D13" i="23"/>
  <c r="D13" i="25"/>
  <c r="F21" i="23"/>
  <c r="D21" i="23"/>
  <c r="E21" i="23"/>
  <c r="C21" i="23"/>
  <c r="G44" i="24"/>
  <c r="C13" i="23"/>
  <c r="G20" i="23"/>
  <c r="D53" i="23"/>
  <c r="G32" i="23"/>
  <c r="G46" i="23"/>
  <c r="G51" i="23" s="1"/>
  <c r="C51" i="23"/>
  <c r="G19" i="23"/>
  <c r="G21" i="23" s="1"/>
  <c r="E53" i="23"/>
  <c r="G33" i="23"/>
  <c r="F53" i="23"/>
  <c r="E14" i="23"/>
  <c r="F14" i="23" l="1"/>
  <c r="F15" i="23" s="1"/>
  <c r="F16" i="23" s="1"/>
  <c r="F17" i="23" s="1"/>
  <c r="F18" i="23" s="1"/>
  <c r="F22" i="23" s="1"/>
  <c r="E14" i="26"/>
  <c r="K13" i="26"/>
  <c r="F14" i="25"/>
  <c r="L13" i="25"/>
  <c r="F14" i="26"/>
  <c r="F15" i="26" s="1"/>
  <c r="F16" i="26" s="1"/>
  <c r="F17" i="26" s="1"/>
  <c r="F18" i="26" s="1"/>
  <c r="F22" i="26" s="1"/>
  <c r="L13" i="26"/>
  <c r="K13" i="25"/>
  <c r="E14" i="25"/>
  <c r="I13" i="26"/>
  <c r="C14" i="26"/>
  <c r="G13" i="26"/>
  <c r="M13" i="26" s="1"/>
  <c r="C14" i="25"/>
  <c r="C15" i="25" s="1"/>
  <c r="C16" i="25" s="1"/>
  <c r="C17" i="25" s="1"/>
  <c r="I13" i="25"/>
  <c r="D22" i="26"/>
  <c r="I13" i="28"/>
  <c r="D14" i="23"/>
  <c r="J13" i="23"/>
  <c r="G13" i="23"/>
  <c r="M13" i="23" s="1"/>
  <c r="D14" i="25"/>
  <c r="J13" i="25"/>
  <c r="G13" i="25"/>
  <c r="M13" i="25" s="1"/>
  <c r="C14" i="23"/>
  <c r="C15" i="23" s="1"/>
  <c r="I13" i="23"/>
  <c r="G53" i="23"/>
  <c r="H20" i="23"/>
  <c r="C53" i="23"/>
  <c r="E15" i="23"/>
  <c r="E16" i="23" s="1"/>
  <c r="D34" i="21"/>
  <c r="F17" i="25" l="1"/>
  <c r="F15" i="25"/>
  <c r="F16" i="25" s="1"/>
  <c r="C15" i="26"/>
  <c r="C16" i="26" s="1"/>
  <c r="G14" i="26"/>
  <c r="H14" i="26" s="1"/>
  <c r="E15" i="26"/>
  <c r="E16" i="26" s="1"/>
  <c r="E17" i="25"/>
  <c r="E15" i="25"/>
  <c r="E16" i="25" s="1"/>
  <c r="F26" i="26"/>
  <c r="F27" i="26" s="1"/>
  <c r="L27" i="26" s="1"/>
  <c r="L22" i="26"/>
  <c r="L23" i="26"/>
  <c r="C18" i="25"/>
  <c r="C22" i="25" s="1"/>
  <c r="C26" i="25"/>
  <c r="L6" i="26"/>
  <c r="J22" i="26"/>
  <c r="J23" i="26"/>
  <c r="D26" i="26"/>
  <c r="G14" i="23"/>
  <c r="H14" i="23" s="1"/>
  <c r="D15" i="23"/>
  <c r="D25" i="23" s="1"/>
  <c r="D15" i="25"/>
  <c r="G14" i="25"/>
  <c r="H14" i="25" s="1"/>
  <c r="L22" i="23"/>
  <c r="F26" i="23"/>
  <c r="F27" i="23" s="1"/>
  <c r="L23" i="23"/>
  <c r="C16" i="23"/>
  <c r="C17" i="23" s="1"/>
  <c r="C25" i="23"/>
  <c r="E17" i="23"/>
  <c r="E18" i="23" s="1"/>
  <c r="E22" i="23" s="1"/>
  <c r="G27" i="21"/>
  <c r="E18" i="25" l="1"/>
  <c r="E22" i="25" s="1"/>
  <c r="K22" i="25" s="1"/>
  <c r="F18" i="25"/>
  <c r="F22" i="25" s="1"/>
  <c r="L23" i="25" s="1"/>
  <c r="C17" i="26"/>
  <c r="C18" i="26" s="1"/>
  <c r="G16" i="26"/>
  <c r="H16" i="26" s="1"/>
  <c r="I23" i="25"/>
  <c r="C25" i="25"/>
  <c r="C27" i="25" s="1"/>
  <c r="I28" i="25" s="1"/>
  <c r="I22" i="25"/>
  <c r="C25" i="26"/>
  <c r="G25" i="26" s="1"/>
  <c r="G15" i="26"/>
  <c r="I15" i="26" s="1"/>
  <c r="J15" i="26" s="1"/>
  <c r="E17" i="26"/>
  <c r="E18" i="26" s="1"/>
  <c r="E22" i="26" s="1"/>
  <c r="D27" i="26"/>
  <c r="J27" i="26" s="1"/>
  <c r="D16" i="23"/>
  <c r="G16" i="23" s="1"/>
  <c r="H16" i="23" s="1"/>
  <c r="G15" i="23"/>
  <c r="I15" i="23" s="1"/>
  <c r="J15" i="23" s="1"/>
  <c r="D16" i="25"/>
  <c r="G15" i="25"/>
  <c r="K23" i="23"/>
  <c r="K22" i="23"/>
  <c r="E26" i="23"/>
  <c r="C18" i="23"/>
  <c r="C22" i="23" s="1"/>
  <c r="G25" i="23"/>
  <c r="C10" i="22"/>
  <c r="L22" i="25" l="1"/>
  <c r="F25" i="25"/>
  <c r="F27" i="25" s="1"/>
  <c r="L28" i="25" s="1"/>
  <c r="E25" i="25"/>
  <c r="E27" i="25" s="1"/>
  <c r="K28" i="25" s="1"/>
  <c r="K23" i="25"/>
  <c r="H25" i="26"/>
  <c r="E26" i="26"/>
  <c r="E27" i="26" s="1"/>
  <c r="K27" i="26" s="1"/>
  <c r="K23" i="26"/>
  <c r="K22" i="26"/>
  <c r="C22" i="26"/>
  <c r="G18" i="26"/>
  <c r="G17" i="26"/>
  <c r="H17" i="26" s="1"/>
  <c r="D17" i="23"/>
  <c r="D18" i="23" s="1"/>
  <c r="D22" i="23" s="1"/>
  <c r="J22" i="23" s="1"/>
  <c r="H25" i="23"/>
  <c r="D17" i="25"/>
  <c r="D18" i="25" s="1"/>
  <c r="G16" i="25"/>
  <c r="H16" i="25" s="1"/>
  <c r="E27" i="23"/>
  <c r="K27" i="23" s="1"/>
  <c r="L27" i="23"/>
  <c r="D3" i="22"/>
  <c r="D4" i="22" s="1"/>
  <c r="D5" i="22" s="1"/>
  <c r="D6" i="22" s="1"/>
  <c r="D7" i="22" s="1"/>
  <c r="D8" i="22" s="1"/>
  <c r="D10" i="22" s="1"/>
  <c r="D11" i="22" s="1"/>
  <c r="C8" i="22"/>
  <c r="C11" i="22" s="1"/>
  <c r="D13" i="22"/>
  <c r="D14" i="22" s="1"/>
  <c r="D15" i="22" s="1"/>
  <c r="D16" i="22" s="1"/>
  <c r="D17" i="22" s="1"/>
  <c r="D18" i="22" s="1"/>
  <c r="D19" i="22" s="1"/>
  <c r="D20" i="22" s="1"/>
  <c r="D21" i="22" s="1"/>
  <c r="D22" i="22" s="1"/>
  <c r="C22" i="22"/>
  <c r="E4" i="21"/>
  <c r="E8" i="21" s="1"/>
  <c r="E14" i="21"/>
  <c r="E15" i="21" s="1"/>
  <c r="D16" i="21" s="1"/>
  <c r="D18" i="21"/>
  <c r="D53" i="21" s="1"/>
  <c r="E22" i="21"/>
  <c r="D23" i="21"/>
  <c r="D26" i="21"/>
  <c r="I27" i="21" s="1"/>
  <c r="E30" i="21"/>
  <c r="E31" i="21" s="1"/>
  <c r="D32" i="21"/>
  <c r="E38" i="21"/>
  <c r="E39" i="21" s="1"/>
  <c r="D40" i="21"/>
  <c r="G47" i="21"/>
  <c r="D49" i="21"/>
  <c r="E49" i="21" s="1"/>
  <c r="E50" i="21" s="1"/>
  <c r="D50" i="21"/>
  <c r="E57" i="21"/>
  <c r="D58" i="21"/>
  <c r="D69" i="21"/>
  <c r="D70" i="21"/>
  <c r="H47" i="21" s="1"/>
  <c r="C73" i="21"/>
  <c r="G84" i="21"/>
  <c r="D85" i="21"/>
  <c r="D86" i="21"/>
  <c r="D88" i="21"/>
  <c r="C26" i="26" l="1"/>
  <c r="I22" i="26"/>
  <c r="I23" i="26"/>
  <c r="G22" i="26"/>
  <c r="H18" i="26"/>
  <c r="H22" i="26"/>
  <c r="D26" i="23"/>
  <c r="D27" i="23" s="1"/>
  <c r="J27" i="23" s="1"/>
  <c r="J23" i="23"/>
  <c r="G18" i="23"/>
  <c r="G22" i="23" s="1"/>
  <c r="H23" i="23" s="1"/>
  <c r="G17" i="23"/>
  <c r="H17" i="23" s="1"/>
  <c r="D22" i="25"/>
  <c r="G18" i="25"/>
  <c r="D26" i="25"/>
  <c r="G26" i="25" s="1"/>
  <c r="G17" i="25"/>
  <c r="K17" i="25" s="1"/>
  <c r="K18" i="25" s="1"/>
  <c r="I23" i="23"/>
  <c r="I22" i="23"/>
  <c r="C26" i="23"/>
  <c r="C27" i="23" s="1"/>
  <c r="E58" i="21"/>
  <c r="E32" i="21"/>
  <c r="E23" i="21"/>
  <c r="D24" i="21" s="1"/>
  <c r="D51" i="21" s="1"/>
  <c r="E40" i="21"/>
  <c r="D41" i="21"/>
  <c r="E16" i="21"/>
  <c r="G21" i="20"/>
  <c r="G67" i="20" s="1"/>
  <c r="G68" i="20" s="1"/>
  <c r="H21" i="20"/>
  <c r="F18" i="21" s="1"/>
  <c r="I21" i="20"/>
  <c r="G40" i="20"/>
  <c r="H40" i="20"/>
  <c r="F26" i="21" s="1"/>
  <c r="I40" i="20"/>
  <c r="G54" i="20"/>
  <c r="H54" i="20"/>
  <c r="F34" i="21" s="1"/>
  <c r="I54" i="20"/>
  <c r="G66" i="20"/>
  <c r="H66" i="20"/>
  <c r="I66" i="20"/>
  <c r="E4" i="19"/>
  <c r="E8" i="19" s="1"/>
  <c r="E14" i="19"/>
  <c r="E15" i="19"/>
  <c r="D16" i="19"/>
  <c r="D18" i="19"/>
  <c r="F18" i="19" s="1"/>
  <c r="E22" i="19"/>
  <c r="E23" i="19" s="1"/>
  <c r="D23" i="19"/>
  <c r="D24" i="19"/>
  <c r="D26" i="19"/>
  <c r="G27" i="19"/>
  <c r="E30" i="19"/>
  <c r="E31" i="19" s="1"/>
  <c r="D32" i="19"/>
  <c r="D34" i="19"/>
  <c r="F34" i="19" s="1"/>
  <c r="E38" i="19"/>
  <c r="E39" i="19" s="1"/>
  <c r="D40" i="19"/>
  <c r="D44" i="19"/>
  <c r="D49" i="19"/>
  <c r="E49" i="19" s="1"/>
  <c r="D50" i="19"/>
  <c r="C61" i="19"/>
  <c r="G72" i="19"/>
  <c r="D73" i="19"/>
  <c r="D74" i="19"/>
  <c r="D76" i="19"/>
  <c r="C27" i="26" l="1"/>
  <c r="G26" i="26"/>
  <c r="H23" i="26"/>
  <c r="M22" i="26"/>
  <c r="M23" i="26"/>
  <c r="H18" i="23"/>
  <c r="H26" i="25"/>
  <c r="G22" i="25"/>
  <c r="H22" i="25" s="1"/>
  <c r="J22" i="25"/>
  <c r="D25" i="25"/>
  <c r="J23" i="25"/>
  <c r="E32" i="19"/>
  <c r="D33" i="19" s="1"/>
  <c r="D35" i="19" s="1"/>
  <c r="E24" i="21"/>
  <c r="E50" i="19"/>
  <c r="E40" i="19"/>
  <c r="E41" i="21"/>
  <c r="E42" i="21" s="1"/>
  <c r="E43" i="21" s="1"/>
  <c r="E44" i="21" s="1"/>
  <c r="E45" i="21" s="1"/>
  <c r="H22" i="23"/>
  <c r="M23" i="23"/>
  <c r="M22" i="23"/>
  <c r="G26" i="23"/>
  <c r="E33" i="21"/>
  <c r="E34" i="21" s="1"/>
  <c r="E35" i="21" s="1"/>
  <c r="E24" i="19"/>
  <c r="D25" i="19" s="1"/>
  <c r="D27" i="19" s="1"/>
  <c r="F26" i="19"/>
  <c r="E16" i="19"/>
  <c r="D17" i="19" s="1"/>
  <c r="D19" i="19" s="1"/>
  <c r="H67" i="20"/>
  <c r="H68" i="20" s="1"/>
  <c r="F44" i="21"/>
  <c r="I67" i="20"/>
  <c r="I68" i="20" s="1"/>
  <c r="D33" i="21"/>
  <c r="D35" i="21" s="1"/>
  <c r="D25" i="21"/>
  <c r="D27" i="21" s="1"/>
  <c r="E51" i="21"/>
  <c r="D17" i="21"/>
  <c r="D19" i="21" s="1"/>
  <c r="D45" i="21"/>
  <c r="D52" i="21"/>
  <c r="D54" i="21" s="1"/>
  <c r="D59" i="21"/>
  <c r="F44" i="19"/>
  <c r="D41" i="19"/>
  <c r="E41" i="19" s="1"/>
  <c r="E42" i="19" s="1"/>
  <c r="E43" i="19" s="1"/>
  <c r="E44" i="19" s="1"/>
  <c r="E45" i="19" s="1"/>
  <c r="D53" i="19"/>
  <c r="D51" i="19"/>
  <c r="E39" i="14"/>
  <c r="H39" i="14" s="1"/>
  <c r="H30" i="14"/>
  <c r="E30" i="14"/>
  <c r="I31" i="14" s="1"/>
  <c r="E23" i="14"/>
  <c r="I24" i="14" s="1"/>
  <c r="F23" i="4"/>
  <c r="H26" i="26" l="1"/>
  <c r="G27" i="26"/>
  <c r="H28" i="26" s="1"/>
  <c r="I27" i="26"/>
  <c r="D27" i="25"/>
  <c r="J28" i="25" s="1"/>
  <c r="G25" i="25"/>
  <c r="M23" i="25"/>
  <c r="G7" i="25"/>
  <c r="M22" i="25"/>
  <c r="G27" i="23"/>
  <c r="H26" i="23"/>
  <c r="E25" i="21"/>
  <c r="E26" i="21" s="1"/>
  <c r="E27" i="21" s="1"/>
  <c r="H27" i="21" s="1"/>
  <c r="I27" i="23"/>
  <c r="E25" i="19"/>
  <c r="E26" i="19" s="1"/>
  <c r="E27" i="19" s="1"/>
  <c r="H27" i="19" s="1"/>
  <c r="I39" i="14"/>
  <c r="D45" i="19"/>
  <c r="D47" i="19" s="1"/>
  <c r="E33" i="19"/>
  <c r="E34" i="19" s="1"/>
  <c r="E35" i="19" s="1"/>
  <c r="E59" i="21"/>
  <c r="D47" i="21"/>
  <c r="E17" i="21"/>
  <c r="E18" i="21" s="1"/>
  <c r="E19" i="21" s="1"/>
  <c r="E52" i="21"/>
  <c r="D52" i="19"/>
  <c r="D54" i="19" s="1"/>
  <c r="E17" i="19"/>
  <c r="E18" i="19" s="1"/>
  <c r="E19" i="19" s="1"/>
  <c r="E51" i="19"/>
  <c r="E52" i="19" s="1"/>
  <c r="H23" i="14"/>
  <c r="I23" i="14"/>
  <c r="I40" i="14"/>
  <c r="I30" i="14"/>
  <c r="G20" i="14"/>
  <c r="E16" i="14"/>
  <c r="G3" i="14"/>
  <c r="G13" i="14"/>
  <c r="E14" i="14" s="1"/>
  <c r="E17" i="14" s="1"/>
  <c r="G27" i="14"/>
  <c r="G34" i="14"/>
  <c r="E44" i="14"/>
  <c r="E46" i="14" s="1"/>
  <c r="F44" i="14"/>
  <c r="D61" i="14"/>
  <c r="I66" i="14"/>
  <c r="F67" i="14"/>
  <c r="F68" i="14"/>
  <c r="F70" i="14"/>
  <c r="H27" i="26" l="1"/>
  <c r="G7" i="26"/>
  <c r="M27" i="26"/>
  <c r="H25" i="25"/>
  <c r="G27" i="25"/>
  <c r="H28" i="23"/>
  <c r="G7" i="23"/>
  <c r="H27" i="23"/>
  <c r="E47" i="21"/>
  <c r="I47" i="21" s="1"/>
  <c r="M27" i="23"/>
  <c r="E47" i="19"/>
  <c r="E53" i="21"/>
  <c r="E54" i="21" s="1"/>
  <c r="D98" i="21"/>
  <c r="G60" i="21"/>
  <c r="D60" i="21"/>
  <c r="E60" i="21"/>
  <c r="E53" i="19"/>
  <c r="E54" i="19" s="1"/>
  <c r="D86" i="19"/>
  <c r="G14" i="14"/>
  <c r="E35" i="14"/>
  <c r="E40" i="14" s="1"/>
  <c r="G35" i="14"/>
  <c r="F36" i="14" s="1"/>
  <c r="J39" i="14" s="1"/>
  <c r="E21" i="14"/>
  <c r="G21" i="14" s="1"/>
  <c r="I47" i="14"/>
  <c r="F47" i="14"/>
  <c r="I53" i="14" s="1"/>
  <c r="I17" i="14"/>
  <c r="I16" i="14"/>
  <c r="I50" i="14"/>
  <c r="I54" i="14"/>
  <c r="J31" i="14"/>
  <c r="E28" i="14"/>
  <c r="G28" i="14" s="1"/>
  <c r="F29" i="14" s="1"/>
  <c r="H16" i="14"/>
  <c r="J40" i="14"/>
  <c r="J17" i="14"/>
  <c r="G44" i="14"/>
  <c r="J24" i="14"/>
  <c r="I44" i="14"/>
  <c r="H27" i="25" l="1"/>
  <c r="H28" i="25"/>
  <c r="M28" i="25"/>
  <c r="F54" i="21"/>
  <c r="E7" i="21"/>
  <c r="E7" i="19"/>
  <c r="F54" i="19"/>
  <c r="F31" i="14"/>
  <c r="J30" i="14"/>
  <c r="E24" i="14"/>
  <c r="E42" i="14" s="1"/>
  <c r="E45" i="14"/>
  <c r="G45" i="14" s="1"/>
  <c r="I45" i="14"/>
  <c r="E31" i="14"/>
  <c r="I55" i="14"/>
  <c r="F40" i="14"/>
  <c r="G36" i="14"/>
  <c r="G37" i="14" s="1"/>
  <c r="G38" i="14" s="1"/>
  <c r="G39" i="14" s="1"/>
  <c r="G29" i="14"/>
  <c r="G30" i="14" s="1"/>
  <c r="F15" i="14"/>
  <c r="G15" i="14" s="1"/>
  <c r="G16" i="14" s="1"/>
  <c r="G17" i="14" s="1"/>
  <c r="F22" i="14"/>
  <c r="J23" i="14" s="1"/>
  <c r="Q104" i="13"/>
  <c r="S104" i="13"/>
  <c r="U104" i="13"/>
  <c r="Q132" i="13"/>
  <c r="S132" i="13"/>
  <c r="U132" i="13"/>
  <c r="Q160" i="13"/>
  <c r="S160" i="13"/>
  <c r="U160" i="13"/>
  <c r="Q165" i="13"/>
  <c r="S165" i="13"/>
  <c r="U165" i="13"/>
  <c r="E9" i="7"/>
  <c r="E11" i="7"/>
  <c r="E10" i="7"/>
  <c r="E8" i="7"/>
  <c r="F59" i="4"/>
  <c r="Z71" i="12"/>
  <c r="F58" i="4" s="1"/>
  <c r="Z75" i="12"/>
  <c r="F62" i="4" s="1"/>
  <c r="Z74" i="12"/>
  <c r="Z73" i="12"/>
  <c r="F60" i="4" s="1"/>
  <c r="Z72" i="12"/>
  <c r="F72" i="4"/>
  <c r="F70" i="4"/>
  <c r="F69" i="4"/>
  <c r="I68" i="4"/>
  <c r="U166" i="13" l="1"/>
  <c r="U167" i="13" s="1"/>
  <c r="U168" i="13" s="1"/>
  <c r="S166" i="13"/>
  <c r="S167" i="13" s="1"/>
  <c r="D60" i="19"/>
  <c r="F60" i="14"/>
  <c r="S168" i="13"/>
  <c r="D67" i="21"/>
  <c r="D59" i="19"/>
  <c r="F59" i="14"/>
  <c r="I52" i="4"/>
  <c r="D65" i="21"/>
  <c r="D57" i="19"/>
  <c r="F57" i="14"/>
  <c r="Q166" i="13"/>
  <c r="Q167" i="13" s="1"/>
  <c r="Z76" i="12"/>
  <c r="D66" i="21"/>
  <c r="D58" i="19"/>
  <c r="F58" i="14"/>
  <c r="D64" i="21"/>
  <c r="D56" i="19"/>
  <c r="F56" i="14"/>
  <c r="F61" i="4"/>
  <c r="G31" i="14"/>
  <c r="H31" i="14" s="1"/>
  <c r="G22" i="14"/>
  <c r="G23" i="14" s="1"/>
  <c r="G24" i="14" s="1"/>
  <c r="H24" i="14" s="1"/>
  <c r="H17" i="14"/>
  <c r="J16" i="14"/>
  <c r="G40" i="14"/>
  <c r="H40" i="14" s="1"/>
  <c r="F17" i="14"/>
  <c r="H18" i="14" s="1"/>
  <c r="I46" i="14"/>
  <c r="F24" i="14"/>
  <c r="F46" i="14"/>
  <c r="F63" i="4"/>
  <c r="F75" i="4" s="1"/>
  <c r="I76" i="4" s="1"/>
  <c r="Q168" i="13"/>
  <c r="D63" i="4"/>
  <c r="H32" i="14" l="1"/>
  <c r="D61" i="21"/>
  <c r="E64" i="21"/>
  <c r="E65" i="21" s="1"/>
  <c r="E66" i="21" s="1"/>
  <c r="E67" i="21" s="1"/>
  <c r="E68" i="21" s="1"/>
  <c r="F61" i="14"/>
  <c r="D73" i="21"/>
  <c r="H25" i="14"/>
  <c r="E56" i="19"/>
  <c r="E57" i="19" s="1"/>
  <c r="E58" i="19" s="1"/>
  <c r="E59" i="19" s="1"/>
  <c r="E60" i="19" s="1"/>
  <c r="E61" i="19" s="1"/>
  <c r="F61" i="19" s="1"/>
  <c r="D61" i="19"/>
  <c r="D79" i="19" s="1"/>
  <c r="H41" i="14"/>
  <c r="G42" i="14"/>
  <c r="G48" i="14" s="1"/>
  <c r="G46" i="14"/>
  <c r="F75" i="14" s="1"/>
  <c r="H46" i="14"/>
  <c r="X21" i="12"/>
  <c r="Z21" i="12"/>
  <c r="AB21" i="12"/>
  <c r="X40" i="12"/>
  <c r="Z40" i="12"/>
  <c r="AB40" i="12"/>
  <c r="X54" i="12"/>
  <c r="Z54" i="12"/>
  <c r="AB54" i="12"/>
  <c r="X66" i="12"/>
  <c r="Z66" i="12"/>
  <c r="AB66" i="12"/>
  <c r="F73" i="14" l="1"/>
  <c r="I74" i="14" s="1"/>
  <c r="X67" i="12"/>
  <c r="X68" i="12" s="1"/>
  <c r="E69" i="21"/>
  <c r="E70" i="21" s="1"/>
  <c r="E71" i="21" s="1"/>
  <c r="E72" i="21" s="1"/>
  <c r="E73" i="21" s="1"/>
  <c r="F68" i="21"/>
  <c r="G80" i="19"/>
  <c r="D87" i="19"/>
  <c r="AB67" i="12"/>
  <c r="AB68" i="12" s="1"/>
  <c r="D91" i="21"/>
  <c r="G52" i="21"/>
  <c r="H52" i="21" s="1"/>
  <c r="I52" i="21" s="1"/>
  <c r="E61" i="21"/>
  <c r="E62" i="21" s="1"/>
  <c r="D62" i="21"/>
  <c r="I49" i="14"/>
  <c r="I51" i="14" s="1"/>
  <c r="K48" i="14"/>
  <c r="G47" i="14"/>
  <c r="I56" i="14"/>
  <c r="I57" i="14" s="1"/>
  <c r="H48" i="14"/>
  <c r="I48" i="14"/>
  <c r="G7" i="14"/>
  <c r="Z67" i="12"/>
  <c r="Z68" i="12" s="1"/>
  <c r="F76" i="14" l="1"/>
  <c r="G63" i="4"/>
  <c r="AB76" i="12"/>
  <c r="G92" i="21"/>
  <c r="D99" i="21"/>
  <c r="G61" i="14"/>
  <c r="G11" i="7"/>
  <c r="G10" i="7"/>
  <c r="I47" i="6"/>
  <c r="Q25" i="11"/>
  <c r="S25" i="11"/>
  <c r="U25" i="11"/>
  <c r="Q32" i="11"/>
  <c r="S32" i="11"/>
  <c r="U32" i="11"/>
  <c r="Q41" i="11"/>
  <c r="Q46" i="11" s="1"/>
  <c r="Q47" i="11" s="1"/>
  <c r="S41" i="11"/>
  <c r="S46" i="11" s="1"/>
  <c r="S47" i="11" s="1"/>
  <c r="U41" i="11"/>
  <c r="Q45" i="11"/>
  <c r="S45" i="11"/>
  <c r="U45" i="11"/>
  <c r="F41" i="4"/>
  <c r="D9" i="7" s="1"/>
  <c r="F9" i="7" s="1"/>
  <c r="U46" i="11" l="1"/>
  <c r="U47" i="11" s="1"/>
  <c r="U48" i="11" s="1"/>
  <c r="H41" i="4"/>
  <c r="I42" i="4"/>
  <c r="G9" i="7"/>
  <c r="S48" i="11"/>
  <c r="Q48" i="11"/>
  <c r="Q26" i="10"/>
  <c r="S26" i="10"/>
  <c r="U26" i="10"/>
  <c r="Q33" i="10"/>
  <c r="S33" i="10"/>
  <c r="U33" i="10"/>
  <c r="Q41" i="10"/>
  <c r="S41" i="10"/>
  <c r="U41" i="10"/>
  <c r="U45" i="10" s="1"/>
  <c r="U46" i="10" s="1"/>
  <c r="Q44" i="10"/>
  <c r="Q45" i="10" s="1"/>
  <c r="Q46" i="10" s="1"/>
  <c r="S44" i="10"/>
  <c r="U44" i="10"/>
  <c r="F31" i="4"/>
  <c r="D8" i="7" s="1"/>
  <c r="S45" i="10" l="1"/>
  <c r="S46" i="10" s="1"/>
  <c r="S47" i="10" s="1"/>
  <c r="I32" i="4"/>
  <c r="H31" i="4"/>
  <c r="Q47" i="10"/>
  <c r="U47" i="10"/>
  <c r="Q37" i="9"/>
  <c r="S37" i="9"/>
  <c r="U37" i="9"/>
  <c r="Q49" i="9"/>
  <c r="S49" i="9"/>
  <c r="U49" i="9"/>
  <c r="Q62" i="9"/>
  <c r="Q63" i="9" s="1"/>
  <c r="Q64" i="9" s="1"/>
  <c r="S62" i="9"/>
  <c r="S63" i="9" s="1"/>
  <c r="S64" i="9" s="1"/>
  <c r="U62" i="9"/>
  <c r="U63" i="9" s="1"/>
  <c r="U64" i="9" s="1"/>
  <c r="D7" i="7"/>
  <c r="U65" i="9" l="1"/>
  <c r="Q65" i="9"/>
  <c r="I24" i="4"/>
  <c r="H23" i="4"/>
  <c r="G7" i="7"/>
  <c r="S65" i="9"/>
  <c r="Q31" i="8"/>
  <c r="S31" i="8"/>
  <c r="U31" i="8"/>
  <c r="Q39" i="8"/>
  <c r="S39" i="8"/>
  <c r="U39" i="8"/>
  <c r="Q49" i="8"/>
  <c r="S49" i="8"/>
  <c r="S50" i="8" s="1"/>
  <c r="S51" i="8" s="1"/>
  <c r="U49" i="8"/>
  <c r="U50" i="8" s="1"/>
  <c r="U51" i="8" s="1"/>
  <c r="Q50" i="8"/>
  <c r="Q51" i="8" s="1"/>
  <c r="F16" i="4"/>
  <c r="D6" i="7" s="1"/>
  <c r="U52" i="8" l="1"/>
  <c r="G6" i="7"/>
  <c r="I17" i="4"/>
  <c r="H16" i="4"/>
  <c r="S52" i="8"/>
  <c r="Q52" i="8"/>
  <c r="F46" i="4" l="1"/>
  <c r="I16" i="4"/>
  <c r="I41" i="4"/>
  <c r="I31" i="4"/>
  <c r="F6" i="7" l="1"/>
  <c r="F7" i="7"/>
  <c r="E13" i="7"/>
  <c r="F8" i="7" l="1"/>
  <c r="G8" i="7" s="1"/>
  <c r="D13" i="7"/>
  <c r="F13" i="7" l="1"/>
  <c r="G35" i="4"/>
  <c r="E36" i="4" s="1"/>
  <c r="G27" i="4"/>
  <c r="E28" i="4" s="1"/>
  <c r="G20" i="4"/>
  <c r="E21" i="4" s="1"/>
  <c r="G13" i="4"/>
  <c r="G13" i="7" l="1"/>
  <c r="J32" i="4"/>
  <c r="E14" i="4"/>
  <c r="J17" i="4"/>
  <c r="J24" i="4"/>
  <c r="J42" i="4"/>
  <c r="F49" i="4"/>
  <c r="I23" i="4"/>
  <c r="G28" i="4"/>
  <c r="I49" i="4"/>
  <c r="H43" i="6"/>
  <c r="I43" i="6"/>
  <c r="J43" i="6"/>
  <c r="I46" i="6"/>
  <c r="I48" i="6"/>
  <c r="I49" i="6" s="1"/>
  <c r="I52" i="6" s="1"/>
  <c r="I56" i="6"/>
  <c r="I57" i="6"/>
  <c r="I58" i="6" l="1"/>
  <c r="I60" i="6" s="1"/>
  <c r="H13" i="7"/>
  <c r="G14" i="4"/>
  <c r="F15" i="4" s="1"/>
  <c r="J16" i="4" s="1"/>
  <c r="I47" i="4"/>
  <c r="E47" i="4"/>
  <c r="G21" i="4"/>
  <c r="F22" i="4" s="1"/>
  <c r="G36" i="4"/>
  <c r="F37" i="4" s="1"/>
  <c r="J41" i="4" s="1"/>
  <c r="F29" i="4"/>
  <c r="J31" i="4" s="1"/>
  <c r="J49" i="6"/>
  <c r="F24" i="4" l="1"/>
  <c r="J23" i="4"/>
  <c r="F17" i="4"/>
  <c r="G15" i="4"/>
  <c r="F48" i="4"/>
  <c r="H48" i="4" s="1"/>
  <c r="I48" i="4"/>
  <c r="F32" i="4"/>
  <c r="F42" i="4"/>
  <c r="G29" i="4"/>
  <c r="G30" i="4" s="1"/>
  <c r="G31" i="4" s="1"/>
  <c r="G37" i="4"/>
  <c r="G38" i="4" s="1"/>
  <c r="G39" i="4" s="1"/>
  <c r="G40" i="4" s="1"/>
  <c r="G41" i="4" s="1"/>
  <c r="G16" i="4" l="1"/>
  <c r="G22" i="4"/>
  <c r="G23" i="4" l="1"/>
  <c r="G24" i="4" s="1"/>
  <c r="H24" i="4" s="1"/>
  <c r="G32" i="4"/>
  <c r="H32" i="4" s="1"/>
  <c r="I46" i="4"/>
  <c r="E46" i="4" l="1"/>
  <c r="E48" i="4" l="1"/>
  <c r="G46" i="4"/>
  <c r="G17" i="4"/>
  <c r="H17" i="4" s="1"/>
  <c r="E32" i="4"/>
  <c r="H33" i="4" s="1"/>
  <c r="E24" i="4"/>
  <c r="H25" i="4" s="1"/>
  <c r="G47" i="4" l="1"/>
  <c r="G48" i="4" s="1"/>
  <c r="G49" i="4" s="1"/>
  <c r="E42" i="4" l="1"/>
  <c r="G42" i="4"/>
  <c r="H42" i="4" s="1"/>
  <c r="E17" i="4"/>
  <c r="H18" i="4" s="1"/>
  <c r="H43" i="4" l="1"/>
  <c r="G44" i="4"/>
  <c r="G50" i="4" s="1"/>
  <c r="I51" i="4" s="1"/>
  <c r="E44" i="4"/>
  <c r="G7" i="4" l="1"/>
  <c r="H50" i="4"/>
  <c r="I50" i="4"/>
  <c r="G3" i="4" l="1"/>
</calcChain>
</file>

<file path=xl/sharedStrings.xml><?xml version="1.0" encoding="utf-8"?>
<sst xmlns="http://schemas.openxmlformats.org/spreadsheetml/2006/main" count="2902" uniqueCount="497">
  <si>
    <t xml:space="preserve">To: </t>
  </si>
  <si>
    <t>Tel:</t>
  </si>
  <si>
    <t>Fax:</t>
  </si>
  <si>
    <t>Amount Due:</t>
  </si>
  <si>
    <t>Debits</t>
  </si>
  <si>
    <t xml:space="preserve"> Statement No.</t>
  </si>
  <si>
    <t xml:space="preserve"> Date:</t>
  </si>
  <si>
    <t>Date التاريخ</t>
  </si>
  <si>
    <t>Narration البيــــــــــان</t>
  </si>
  <si>
    <t>Bank Details:  Abu Dhabi Commercial Bank</t>
  </si>
  <si>
    <t>Swift Code: ADCBAEAA</t>
  </si>
  <si>
    <t xml:space="preserve">Tel +97165650937 </t>
  </si>
  <si>
    <t>Total</t>
  </si>
  <si>
    <t>Consolidated Statement of Account</t>
  </si>
  <si>
    <t>Al Muhanad Electro-Mechanical Cont. LLC</t>
  </si>
  <si>
    <t xml:space="preserve">Cumulative work of Fire alarm &amp; fire fighting work </t>
  </si>
  <si>
    <t xml:space="preserve">Souq Al Jubail, Plot no 94,Al Bahais at Kalba, Sharjah, UAE </t>
  </si>
  <si>
    <t>Victoria International School on Plot#1117 @ Al Ghail Suburb, Kalba, Sharjah,UAE</t>
  </si>
  <si>
    <t>Grand Total</t>
  </si>
  <si>
    <t>06-573 4646</t>
  </si>
  <si>
    <t>06-573 4664</t>
  </si>
  <si>
    <r>
      <t xml:space="preserve">For </t>
    </r>
    <r>
      <rPr>
        <b/>
        <sz val="14"/>
        <color theme="1"/>
        <rFont val="Arial"/>
        <family val="2"/>
      </rPr>
      <t>Inthar</t>
    </r>
    <r>
      <rPr>
        <sz val="14"/>
        <color theme="1"/>
        <rFont val="Arial"/>
        <family val="2"/>
      </rPr>
      <t xml:space="preserve"> Safety &amp; Security Systems L.L.C.</t>
    </r>
  </si>
  <si>
    <t>Fax: +97165650957</t>
  </si>
  <si>
    <t>P.O Box: 38731, Sharjah, UAE</t>
  </si>
  <si>
    <t>(-) Received payment</t>
  </si>
  <si>
    <t>(+) Vat 5% on total of work</t>
  </si>
  <si>
    <t>Total Contracts Value</t>
  </si>
  <si>
    <t xml:space="preserve">Expansion of kalba University, Sharjah, UAE </t>
  </si>
  <si>
    <t>A/C: 10422661820001</t>
  </si>
  <si>
    <t>IBan: AE490030010422661820001</t>
  </si>
  <si>
    <t>Victoria International School on Plot#1502 @ Al haray Area, Khorfakan</t>
  </si>
  <si>
    <t>Balance</t>
  </si>
  <si>
    <t>(-) Deducted amount for Aman Sub contract work</t>
  </si>
  <si>
    <t>(-) Deduction amount paid to Al Tahadi by Memco</t>
  </si>
  <si>
    <t>Total Amount including vat + Al Tahadi &amp; Aman deduction</t>
  </si>
  <si>
    <t>Amount paid to Aman Sub contract work</t>
  </si>
  <si>
    <t>Amount paid to Al Tahadi by Memco on behalf of Inthar</t>
  </si>
  <si>
    <r>
      <t xml:space="preserve">Payment received from </t>
    </r>
    <r>
      <rPr>
        <b/>
        <sz val="11"/>
        <color theme="1"/>
        <rFont val="Arial"/>
        <family val="2"/>
      </rPr>
      <t>UNEC LC</t>
    </r>
  </si>
  <si>
    <r>
      <t xml:space="preserve">Payment received from </t>
    </r>
    <r>
      <rPr>
        <b/>
        <sz val="11"/>
        <color theme="1"/>
        <rFont val="Arial"/>
        <family val="2"/>
      </rPr>
      <t>UNEC</t>
    </r>
    <r>
      <rPr>
        <sz val="11"/>
        <color theme="1"/>
        <rFont val="Arial"/>
        <family val="2"/>
      </rPr>
      <t xml:space="preserve"> by cheque</t>
    </r>
  </si>
  <si>
    <r>
      <t xml:space="preserve">Payment received from </t>
    </r>
    <r>
      <rPr>
        <b/>
        <sz val="11"/>
        <color theme="1"/>
        <rFont val="Arial"/>
        <family val="2"/>
      </rPr>
      <t>Memco</t>
    </r>
    <r>
      <rPr>
        <sz val="11"/>
        <color theme="1"/>
        <rFont val="Arial"/>
        <family val="2"/>
      </rPr>
      <t xml:space="preserve"> by cheques</t>
    </r>
  </si>
  <si>
    <r>
      <t xml:space="preserve">Payment of Inv# 04, P-373 through </t>
    </r>
    <r>
      <rPr>
        <sz val="11"/>
        <color theme="9" tint="-0.249977111117893"/>
        <rFont val="Arial"/>
        <family val="2"/>
      </rPr>
      <t>UNEC LC</t>
    </r>
  </si>
  <si>
    <t>Al Muhanad Electro-Mechanical Cont. LLC:373</t>
  </si>
  <si>
    <t>General Journal</t>
  </si>
  <si>
    <r>
      <t xml:space="preserve">Payment of Inv# 05, P-366 through </t>
    </r>
    <r>
      <rPr>
        <sz val="11"/>
        <color theme="9" tint="-0.249977111117893"/>
        <rFont val="Arial"/>
        <family val="2"/>
      </rPr>
      <t>UNEC LC</t>
    </r>
  </si>
  <si>
    <t>Al Muhanad Electro-Mechanical Cont. LLC:366</t>
  </si>
  <si>
    <t>Inv. No. 05 Prog# 41.99 %</t>
  </si>
  <si>
    <t>Invoice</t>
  </si>
  <si>
    <t>Inv. No. 04 Prog# 34.39 %, P-373</t>
  </si>
  <si>
    <t>Inv. No. 05 Prog# 73.00 %</t>
  </si>
  <si>
    <t>Inv. No. 05, Prog# 86.12 %</t>
  </si>
  <si>
    <t>Al Muhanad Electro-Mechanical Cont. LLC:375</t>
  </si>
  <si>
    <r>
      <t xml:space="preserve">Payment of Inv# 04 &amp; 05R1, P-374 through </t>
    </r>
    <r>
      <rPr>
        <sz val="11"/>
        <color theme="9" tint="-0.249977111117893"/>
        <rFont val="Arial"/>
        <family val="2"/>
      </rPr>
      <t>UNEC LC</t>
    </r>
  </si>
  <si>
    <t>Al Muhanad Electro-Mechanical Cont. LLC:374</t>
  </si>
  <si>
    <r>
      <t xml:space="preserve">Payment of Inv# 04, P-375 thur </t>
    </r>
    <r>
      <rPr>
        <sz val="11"/>
        <color theme="9" tint="-0.249977111117893"/>
        <rFont val="Arial"/>
        <family val="2"/>
      </rPr>
      <t>UNEC LC</t>
    </r>
  </si>
  <si>
    <r>
      <t xml:space="preserve">Payment of Inv# 03, P-374 thur </t>
    </r>
    <r>
      <rPr>
        <sz val="11"/>
        <color theme="9" tint="-0.249977111117893"/>
        <rFont val="Arial"/>
        <family val="2"/>
      </rPr>
      <t>UNEC LC</t>
    </r>
  </si>
  <si>
    <t>Inv. No. 05 R1, Adjustement of T&amp;C 10% retention, Prog# 100%</t>
  </si>
  <si>
    <t>Inv. No. 04, Prog# 100%</t>
  </si>
  <si>
    <r>
      <t xml:space="preserve">Payment of Inv# 03, P-375 thru </t>
    </r>
    <r>
      <rPr>
        <sz val="11"/>
        <color theme="9" tint="-0.249977111117893"/>
        <rFont val="Arial"/>
        <family val="2"/>
      </rPr>
      <t>UNEC LC</t>
    </r>
  </si>
  <si>
    <r>
      <t xml:space="preserve">Payment of Inv# 03, P-373 through </t>
    </r>
    <r>
      <rPr>
        <sz val="11"/>
        <color theme="9" tint="-0.249977111117893"/>
        <rFont val="Arial"/>
        <family val="2"/>
      </rPr>
      <t>UNEC LC</t>
    </r>
  </si>
  <si>
    <t>Inv. No. 04, Prog# 68.06%, P-375</t>
  </si>
  <si>
    <t>Inv. No. 03, Prog# 75.91%, P-374</t>
  </si>
  <si>
    <t>Inv. No. 03, Prog# 57.12 %, P-375</t>
  </si>
  <si>
    <t>Inv. No. 03, Prog# 22.73 %, P-373</t>
  </si>
  <si>
    <r>
      <t xml:space="preserve">Payment of Inv# 02, P-375 thur </t>
    </r>
    <r>
      <rPr>
        <sz val="11"/>
        <color theme="9" tint="-0.249977111117893"/>
        <rFont val="Arial"/>
        <family val="2"/>
      </rPr>
      <t>UNEC LC</t>
    </r>
  </si>
  <si>
    <r>
      <t xml:space="preserve">Payment of Inv# 02, P-374 thur </t>
    </r>
    <r>
      <rPr>
        <sz val="11"/>
        <color theme="9" tint="-0.249977111117893"/>
        <rFont val="Arial"/>
        <family val="2"/>
      </rPr>
      <t>UNEC LC</t>
    </r>
  </si>
  <si>
    <r>
      <t xml:space="preserve">Payment of Inv# 02, P-376 through </t>
    </r>
    <r>
      <rPr>
        <sz val="11"/>
        <color theme="9" tint="-0.249977111117893"/>
        <rFont val="Arial"/>
        <family val="2"/>
      </rPr>
      <t>UNEC LC</t>
    </r>
  </si>
  <si>
    <r>
      <t xml:space="preserve">Payment of Inv# 03, P-366 thur </t>
    </r>
    <r>
      <rPr>
        <sz val="11"/>
        <color theme="9" tint="-0.249977111117893"/>
        <rFont val="Arial"/>
        <family val="2"/>
      </rPr>
      <t>UNEC LC</t>
    </r>
  </si>
  <si>
    <t>Inv. No. 04 Prog# 51.90 %, P-366</t>
  </si>
  <si>
    <t>Inv. No. 02, Prog# 33.34%, P-375</t>
  </si>
  <si>
    <t>Inv. No. 02, Prog# 45.74%, P-374</t>
  </si>
  <si>
    <t>Inv. No. 02 Prog# 18.31 %, P-373</t>
  </si>
  <si>
    <r>
      <t xml:space="preserve">On account payment of Inv# 01, P-375 thru </t>
    </r>
    <r>
      <rPr>
        <sz val="11"/>
        <color theme="9" tint="-0.249977111117893"/>
        <rFont val="Arial"/>
        <family val="2"/>
      </rPr>
      <t>UNEC LC</t>
    </r>
  </si>
  <si>
    <r>
      <t xml:space="preserve">On account payment of Inv# 01, P-374 thur </t>
    </r>
    <r>
      <rPr>
        <sz val="11"/>
        <color theme="9" tint="-0.249977111117893"/>
        <rFont val="Arial"/>
        <family val="2"/>
      </rPr>
      <t>UNEC LC</t>
    </r>
  </si>
  <si>
    <r>
      <t xml:space="preserve">On account payment of Inv# 01, P-373 through </t>
    </r>
    <r>
      <rPr>
        <sz val="11"/>
        <color theme="9" tint="-0.249977111117893"/>
        <rFont val="Arial"/>
        <family val="2"/>
      </rPr>
      <t>UNEC LC</t>
    </r>
  </si>
  <si>
    <r>
      <t xml:space="preserve">Balance amount of Inv# 03, P-366 thur </t>
    </r>
    <r>
      <rPr>
        <sz val="11"/>
        <color theme="9" tint="-0.249977111117893"/>
        <rFont val="Arial"/>
        <family val="2"/>
      </rPr>
      <t>UNEC LC</t>
    </r>
  </si>
  <si>
    <t>Inv. No. 01, Prog# 14.01%, P-375</t>
  </si>
  <si>
    <t>Inv. No. 01, Prog# 25.52%, P-374</t>
  </si>
  <si>
    <t>Inv. No. 01, Prog# 11.24%, P-373</t>
  </si>
  <si>
    <t>Inv. No. 03 Prog# 47.82%, P-366</t>
  </si>
  <si>
    <t>Chq# 34413 Arab bank, from UNEC on account payment</t>
  </si>
  <si>
    <t>Payment</t>
  </si>
  <si>
    <t>Chq# 563439 Banque Misr, from UNEC on account payment</t>
  </si>
  <si>
    <t>Chq# 933325 Invest bank, Rv# 9350, on account payment</t>
  </si>
  <si>
    <t>Inv. No. 02 Prog# 28.14 %, P-366</t>
  </si>
  <si>
    <t>Inv. No. 01 Prog# 19.50 %, P-366</t>
  </si>
  <si>
    <t>Chq# 933139 Invest bank, Rv# 9243, on account payment</t>
  </si>
  <si>
    <t>9243</t>
  </si>
  <si>
    <t>Chq# 932983 Invest bank, Rv# 9233, on account payment</t>
  </si>
  <si>
    <t>9233</t>
  </si>
  <si>
    <t>Remarks</t>
  </si>
  <si>
    <t>Credit</t>
  </si>
  <si>
    <t>Debit</t>
  </si>
  <si>
    <t>Memo</t>
  </si>
  <si>
    <t>Name</t>
  </si>
  <si>
    <t>Job No.</t>
  </si>
  <si>
    <t>Num</t>
  </si>
  <si>
    <t>Date</t>
  </si>
  <si>
    <t>Type</t>
  </si>
  <si>
    <t xml:space="preserve">LC amount </t>
  </si>
  <si>
    <t>Total amount received by LC including Inv. No. 05 of P-373</t>
  </si>
  <si>
    <t xml:space="preserve">Balance amount not yet utilized </t>
  </si>
  <si>
    <t>Inv. No. 05 Prog# 41.99 % already submitted to bank</t>
  </si>
  <si>
    <t>Total utilized amount from LC</t>
  </si>
  <si>
    <t>(-) Retention 5%</t>
  </si>
  <si>
    <t>(-) Retention as of date</t>
  </si>
  <si>
    <t>(+) Vat 5% on total of % of work</t>
  </si>
  <si>
    <t>(-) Deduction</t>
  </si>
  <si>
    <t>(-) Total payment received including deductions</t>
  </si>
  <si>
    <t>Victoria International School, Kalba</t>
  </si>
  <si>
    <t>P# 375</t>
  </si>
  <si>
    <t>Victoria International School, Khorfakan</t>
  </si>
  <si>
    <t>P# 374</t>
  </si>
  <si>
    <t>kalba University</t>
  </si>
  <si>
    <t>P# 373</t>
  </si>
  <si>
    <t>Souq Al Jubail, Kalba</t>
  </si>
  <si>
    <t>P# 366</t>
  </si>
  <si>
    <t xml:space="preserve">Total </t>
  </si>
  <si>
    <t>Deduction</t>
  </si>
  <si>
    <t xml:space="preserve">Amount Received </t>
  </si>
  <si>
    <t xml:space="preserve">Narration </t>
  </si>
  <si>
    <t>Job#</t>
  </si>
  <si>
    <t>TOTAL</t>
  </si>
  <si>
    <t>Total 60000 · INCOME</t>
  </si>
  <si>
    <t>Total 60100 · OPERATING INCOME</t>
  </si>
  <si>
    <t>Total 60110 · Revenue from projects</t>
  </si>
  <si>
    <t>Projects Revenue</t>
  </si>
  <si>
    <t>15304</t>
  </si>
  <si>
    <t>15089</t>
  </si>
  <si>
    <t>14901</t>
  </si>
  <si>
    <t>Projects Revenue, Inv. No. 03</t>
  </si>
  <si>
    <t>14823</t>
  </si>
  <si>
    <t>Projects Revenue, Inv. No. 02</t>
  </si>
  <si>
    <t>14775</t>
  </si>
  <si>
    <t>Projects Revenue, Inv. No. 01</t>
  </si>
  <si>
    <t>14774</t>
  </si>
  <si>
    <t>60110 · Revenue from projects</t>
  </si>
  <si>
    <t>60100 · OPERATING INCOME</t>
  </si>
  <si>
    <t>60000 · INCOME</t>
  </si>
  <si>
    <t>Total 40860 · Sales Tax Payable</t>
  </si>
  <si>
    <t>Sales Tax "Value Add Tax"</t>
  </si>
  <si>
    <t>40860 · Sales Tax Payable</t>
  </si>
  <si>
    <t>Total 11500 · Retention from Projects</t>
  </si>
  <si>
    <t>T&amp;C Retention, Inv. No. 05</t>
  </si>
  <si>
    <t>Retention</t>
  </si>
  <si>
    <t>T&amp;C Retention, Inv. No. 04</t>
  </si>
  <si>
    <t>T&amp;C Retention, Inv. No. 03</t>
  </si>
  <si>
    <t>T&amp;C Retention, Inv. No. 02</t>
  </si>
  <si>
    <t>T&amp;C Retention, Inv. No. 01</t>
  </si>
  <si>
    <t>11500 · Retention from Projects</t>
  </si>
  <si>
    <t>Total 11000 · Accounts Receivable</t>
  </si>
  <si>
    <t>Inv. No. 06 Prog# 100.00 %</t>
  </si>
  <si>
    <t>Amount paid direct to Sibca against return cheques</t>
  </si>
  <si>
    <t>10629</t>
  </si>
  <si>
    <t>On Account Payment From Al Muhanad By Chq#934309, Rv#10603 For Proj#366,373,374 &amp;375</t>
  </si>
  <si>
    <t>10603</t>
  </si>
  <si>
    <t>On Account Payment Fro Al Muhanad, Rv#10604 By Chq#934319 For Proj#366,373,374 &amp;375</t>
  </si>
  <si>
    <t>10604</t>
  </si>
  <si>
    <t>Cash amount paid to Al Muhannad through Mr. Haytham againsit FM200 suupply (HV) from Firex</t>
  </si>
  <si>
    <t>7623</t>
  </si>
  <si>
    <t>Payment of Inv# 05, P-366 through UNIC LC</t>
  </si>
  <si>
    <t>7322</t>
  </si>
  <si>
    <t>Payment of Inv# 03, P-366 thur UNIC LC</t>
  </si>
  <si>
    <t>6001</t>
  </si>
  <si>
    <t>Balance amount of Inv# 03, P-366 thur UNIC LC</t>
  </si>
  <si>
    <t>5751</t>
  </si>
  <si>
    <t>9350</t>
  </si>
  <si>
    <t>11000 · Accounts Receivable</t>
  </si>
  <si>
    <t>15300</t>
  </si>
  <si>
    <t>15299</t>
  </si>
  <si>
    <t>15298</t>
  </si>
  <si>
    <t>15264</t>
  </si>
  <si>
    <t>15109</t>
  </si>
  <si>
    <t>15090</t>
  </si>
  <si>
    <t>14965</t>
  </si>
  <si>
    <t>14902</t>
  </si>
  <si>
    <t>14824</t>
  </si>
  <si>
    <t>Retention after one year for project handing over</t>
  </si>
  <si>
    <t>7630</t>
  </si>
  <si>
    <t>Retention T&amp;C</t>
  </si>
  <si>
    <t>T&amp;C Retention Inv. No. 06</t>
  </si>
  <si>
    <t>T&amp;C Retention Inv. No. 05</t>
  </si>
  <si>
    <t>T&amp;C Retention Inv. No. 04</t>
  </si>
  <si>
    <t>Inv. No. 09 Prog# 100%</t>
  </si>
  <si>
    <t>Inv. No. 07 Prog# 56.47 %</t>
  </si>
  <si>
    <t>Inv. No. 08 Prog# 85.04 %</t>
  </si>
  <si>
    <t>Chq# 557, BBF, paid direct to Naffco</t>
  </si>
  <si>
    <t>10628</t>
  </si>
  <si>
    <t>Inv. No. 06 Prog# 51.09 %</t>
  </si>
  <si>
    <t>Payment of Inv# 05, P-373 through UNIC LC</t>
  </si>
  <si>
    <t>7054</t>
  </si>
  <si>
    <t>Payment of Inv# 04, P-373 through UNIC LC</t>
  </si>
  <si>
    <t>6828</t>
  </si>
  <si>
    <t>Payment of Inv# 03, P-373 through UNIC LC</t>
  </si>
  <si>
    <t>6253</t>
  </si>
  <si>
    <t>Payment of Inv# 02, P-376 through UNIC LC</t>
  </si>
  <si>
    <t>6002</t>
  </si>
  <si>
    <t>On account payment of Inv# 01, P-373 through UNIC LC</t>
  </si>
  <si>
    <t>5754</t>
  </si>
  <si>
    <t>Total 60150 · Sales Discount</t>
  </si>
  <si>
    <t>Accomdation charges</t>
  </si>
  <si>
    <t>15008</t>
  </si>
  <si>
    <t>60150 · Sales Discount</t>
  </si>
  <si>
    <t>Projects Revenue, Inv. No. 04, Prog# 100%</t>
  </si>
  <si>
    <t>Projects Revenue, Inv. No. 03, Prog# 75.91%</t>
  </si>
  <si>
    <t>14973</t>
  </si>
  <si>
    <t>Projects Revenue, Inv. No. 02, Prog# 45.74%</t>
  </si>
  <si>
    <t>14903</t>
  </si>
  <si>
    <t>Projects Revenue, Inv. No. 01, Prog# 25.52%</t>
  </si>
  <si>
    <t>14825</t>
  </si>
  <si>
    <t>6282</t>
  </si>
  <si>
    <t>Payment of Inv# 04 &amp; 05R1, P-374 through UNIC LC</t>
  </si>
  <si>
    <t>6618</t>
  </si>
  <si>
    <t>Payment of Inv# 03, P-374 thur UNIC LC</t>
  </si>
  <si>
    <t>6369</t>
  </si>
  <si>
    <t>Payment of Inv# 02, P-374 thur UNIC LC</t>
  </si>
  <si>
    <t>6003</t>
  </si>
  <si>
    <t>On account payment of Inv# 01, P-374 thur UNIC LC</t>
  </si>
  <si>
    <t>5757</t>
  </si>
  <si>
    <t>9293</t>
  </si>
  <si>
    <t>9295</t>
  </si>
  <si>
    <t>Sales Discount</t>
  </si>
  <si>
    <t>14974</t>
  </si>
  <si>
    <t>Deduction, supply of HDPE pipes MEMCO Ref: J-261</t>
  </si>
  <si>
    <t>14966</t>
  </si>
  <si>
    <t>15028</t>
  </si>
  <si>
    <t>14904</t>
  </si>
  <si>
    <t>14826</t>
  </si>
  <si>
    <t>Payment of Inv# 04, P-375 thru UNIC LC</t>
  </si>
  <si>
    <t>6370</t>
  </si>
  <si>
    <t>Payment of Inv# 03, P-375 thru UNIC LC</t>
  </si>
  <si>
    <t>6254</t>
  </si>
  <si>
    <t>Payment of Inv# 02, P-375 thur UNIC LC</t>
  </si>
  <si>
    <t>6005</t>
  </si>
  <si>
    <t>On account payment of Inv# 01, P-375 thru UNIC LC</t>
  </si>
  <si>
    <t>5759</t>
  </si>
  <si>
    <t>Al Muhanad Electro-Mechanical Cont. LLC Payment Summary</t>
  </si>
  <si>
    <t>Due Date:</t>
  </si>
  <si>
    <t>Total Al Muhanad Electro-Mechanical Cont. LLC</t>
  </si>
  <si>
    <t>Total 375</t>
  </si>
  <si>
    <t>0000 · SUSPENSE ACCOUNT</t>
  </si>
  <si>
    <t>P-375</t>
  </si>
  <si>
    <t>-SPLIT-</t>
  </si>
  <si>
    <t>Under construction</t>
  </si>
  <si>
    <t>10150 · ADCB Islamic #10422661820001</t>
  </si>
  <si>
    <r>
      <t xml:space="preserve">Payment of Inv# 04, P-375 thru </t>
    </r>
    <r>
      <rPr>
        <sz val="10"/>
        <color theme="5" tint="-0.249977111117893"/>
        <rFont val="Arial"/>
        <family val="2"/>
      </rPr>
      <t>UNIC LC</t>
    </r>
  </si>
  <si>
    <r>
      <t xml:space="preserve">Payment of Inv# 03, P-375 thru </t>
    </r>
    <r>
      <rPr>
        <sz val="10"/>
        <color theme="5" tint="-0.249977111117893"/>
        <rFont val="Arial"/>
        <family val="2"/>
      </rPr>
      <t>UNIC LC</t>
    </r>
  </si>
  <si>
    <r>
      <t xml:space="preserve">Payment of Inv# 02, P-375 thur </t>
    </r>
    <r>
      <rPr>
        <sz val="10"/>
        <color theme="5" tint="-0.249977111117893"/>
        <rFont val="Arial"/>
        <family val="2"/>
      </rPr>
      <t>UNIC LC</t>
    </r>
  </si>
  <si>
    <r>
      <t xml:space="preserve">On account payment of Inv# 01, P-375 thru </t>
    </r>
    <r>
      <rPr>
        <sz val="10"/>
        <color theme="5" tint="-0.249977111117893"/>
        <rFont val="Arial"/>
        <family val="2"/>
      </rPr>
      <t>UNIC LC</t>
    </r>
  </si>
  <si>
    <t>375</t>
  </si>
  <si>
    <t>Total 374</t>
  </si>
  <si>
    <t>P-374</t>
  </si>
  <si>
    <r>
      <t xml:space="preserve">Payment of Inv# 04 &amp; 05R1, P-374 through </t>
    </r>
    <r>
      <rPr>
        <sz val="10"/>
        <color theme="5" tint="-0.249977111117893"/>
        <rFont val="Arial"/>
        <family val="2"/>
      </rPr>
      <t>UNIC LC</t>
    </r>
  </si>
  <si>
    <r>
      <t xml:space="preserve">Payment of Inv# 03, P-374 thur </t>
    </r>
    <r>
      <rPr>
        <sz val="10"/>
        <color theme="5" tint="-0.249977111117893"/>
        <rFont val="Arial"/>
        <family val="2"/>
      </rPr>
      <t>UNIC LC</t>
    </r>
  </si>
  <si>
    <r>
      <t xml:space="preserve">Payment of Inv# 02, P-374 thur </t>
    </r>
    <r>
      <rPr>
        <sz val="10"/>
        <color theme="5" tint="-0.249977111117893"/>
        <rFont val="Arial"/>
        <family val="2"/>
      </rPr>
      <t>UNIC LC</t>
    </r>
  </si>
  <si>
    <r>
      <t xml:space="preserve">On account payment of Inv# 01, P-374 thur </t>
    </r>
    <r>
      <rPr>
        <sz val="10"/>
        <color theme="5" tint="-0.249977111117893"/>
        <rFont val="Arial"/>
        <family val="2"/>
      </rPr>
      <t>UNIC LC</t>
    </r>
  </si>
  <si>
    <t>374</t>
  </si>
  <si>
    <t>Total 373</t>
  </si>
  <si>
    <t>P-373</t>
  </si>
  <si>
    <t>80380 · Leave Salary Expenses</t>
  </si>
  <si>
    <r>
      <t xml:space="preserve">Payment of Inv# 05, P-373 through </t>
    </r>
    <r>
      <rPr>
        <sz val="10"/>
        <color theme="5" tint="-0.249977111117893"/>
        <rFont val="Arial"/>
        <family val="2"/>
      </rPr>
      <t>UNIC LC</t>
    </r>
  </si>
  <si>
    <r>
      <t xml:space="preserve">Payment of Inv# 04, P-373 through </t>
    </r>
    <r>
      <rPr>
        <sz val="10"/>
        <color theme="5" tint="-0.249977111117893"/>
        <rFont val="Arial"/>
        <family val="2"/>
      </rPr>
      <t>UNIC LC</t>
    </r>
  </si>
  <si>
    <r>
      <t xml:space="preserve">Payment of Inv# 03, P-373 through </t>
    </r>
    <r>
      <rPr>
        <sz val="10"/>
        <color theme="5" tint="-0.249977111117893"/>
        <rFont val="Arial"/>
        <family val="2"/>
      </rPr>
      <t>UNIC LC</t>
    </r>
  </si>
  <si>
    <r>
      <t xml:space="preserve">Payment of Inv# 02, P-376 through </t>
    </r>
    <r>
      <rPr>
        <sz val="10"/>
        <color theme="5" tint="-0.249977111117893"/>
        <rFont val="Arial"/>
        <family val="2"/>
      </rPr>
      <t>UNIC LC</t>
    </r>
  </si>
  <si>
    <r>
      <t xml:space="preserve">On account payment of Inv# 01, P-373 through </t>
    </r>
    <r>
      <rPr>
        <sz val="10"/>
        <color theme="5" tint="-0.249977111117893"/>
        <rFont val="Arial"/>
        <family val="2"/>
      </rPr>
      <t>UNIC LC</t>
    </r>
  </si>
  <si>
    <t>373</t>
  </si>
  <si>
    <t>Total 366</t>
  </si>
  <si>
    <t>P-366</t>
  </si>
  <si>
    <t>10350 · SIB 0012070995001</t>
  </si>
  <si>
    <t>30300 · Mr. Hitham Withdraw</t>
  </si>
  <si>
    <r>
      <t xml:space="preserve">Payment of Inv# 05, P-366 through </t>
    </r>
    <r>
      <rPr>
        <sz val="10"/>
        <color theme="5" tint="-0.249977111117893"/>
        <rFont val="Arial"/>
        <family val="2"/>
      </rPr>
      <t>UNIC LC</t>
    </r>
  </si>
  <si>
    <r>
      <t xml:space="preserve">Payment of Inv# 03, P-366 thur </t>
    </r>
    <r>
      <rPr>
        <sz val="10"/>
        <color theme="5" tint="-0.249977111117893"/>
        <rFont val="Arial"/>
        <family val="2"/>
      </rPr>
      <t>UNIC LC</t>
    </r>
  </si>
  <si>
    <r>
      <t xml:space="preserve">Balance amount of Inv# 03, P-366 thur </t>
    </r>
    <r>
      <rPr>
        <sz val="10"/>
        <color theme="5" tint="-0.249977111117893"/>
        <rFont val="Arial"/>
        <family val="2"/>
      </rPr>
      <t>UNIC LC</t>
    </r>
  </si>
  <si>
    <t>10200 · EIB Sharjah Br. # 0021399777001</t>
  </si>
  <si>
    <t>366</t>
  </si>
  <si>
    <t>Split</t>
  </si>
  <si>
    <t>Clr</t>
  </si>
  <si>
    <t>Class</t>
  </si>
  <si>
    <t>Account</t>
  </si>
  <si>
    <t>(-) Retention 0%</t>
  </si>
  <si>
    <t>Inthar Safety &amp; Security Systems LLC</t>
  </si>
  <si>
    <t>UB EMI Payment</t>
  </si>
  <si>
    <r>
      <t xml:space="preserve">Payment received from </t>
    </r>
    <r>
      <rPr>
        <b/>
        <sz val="11"/>
        <color theme="1"/>
        <rFont val="Arial"/>
        <family val="2"/>
      </rPr>
      <t>Al Muhanad</t>
    </r>
    <r>
      <rPr>
        <sz val="11"/>
        <color theme="1"/>
        <rFont val="Arial"/>
        <family val="2"/>
      </rPr>
      <t xml:space="preserve"> by cheques</t>
    </r>
  </si>
  <si>
    <t>Amount Paid by Al Muhanad to Sibca on behalf of Inthar</t>
  </si>
  <si>
    <t>Amount Paid by Al Muhanad to Naffco on behalf of Inthar</t>
  </si>
  <si>
    <t>FF Martial - P-366</t>
  </si>
  <si>
    <t>(+) Amount Paid by Al Muhanad on behalf of Inthar, not yet booked waiting for the supporting documents</t>
  </si>
  <si>
    <t>(-) Deducted Al Weqaya Payment paid to  by Al Muhannad</t>
  </si>
  <si>
    <t>P-374 / 259</t>
  </si>
  <si>
    <t>P-375 / 261</t>
  </si>
  <si>
    <t>P-373 / 258</t>
  </si>
  <si>
    <t>P-366 / 254</t>
  </si>
  <si>
    <r>
      <t xml:space="preserve">Amount paid direct to </t>
    </r>
    <r>
      <rPr>
        <sz val="10"/>
        <color rgb="FFFF0000"/>
        <rFont val="Arial"/>
        <family val="2"/>
      </rPr>
      <t>Sibca</t>
    </r>
    <r>
      <rPr>
        <sz val="10"/>
        <color rgb="FF323232"/>
        <rFont val="Arial"/>
        <family val="2"/>
      </rPr>
      <t xml:space="preserve"> against return cheques</t>
    </r>
  </si>
  <si>
    <r>
      <t xml:space="preserve">Chq# 557, BBF, paid direct to </t>
    </r>
    <r>
      <rPr>
        <sz val="10"/>
        <color rgb="FFFF0000"/>
        <rFont val="Arial"/>
        <family val="2"/>
      </rPr>
      <t>Naffco</t>
    </r>
  </si>
  <si>
    <t>Payment of Inv# 05, P-373 / 258 through UNIC LC</t>
  </si>
  <si>
    <t>Payment of Inv# 05, P-366 / 254 through UNIC LC</t>
  </si>
  <si>
    <t>Payment of Inv# 04, P-373 / 258 through UNIC LC</t>
  </si>
  <si>
    <t>Inv. No. 04 Prog# 34.39 %, P-373 / 258</t>
  </si>
  <si>
    <t>Payment of Inv# 04 &amp; 05R1, P-374 / 259 through UNIC LC</t>
  </si>
  <si>
    <t>Payment of Inv# 04, P-375 / 261 thru UNIC LC</t>
  </si>
  <si>
    <t>Payment of Inv# 03, P-374 / 259 thur UNIC LC</t>
  </si>
  <si>
    <t>Payment of Inv# 03, P-375 / 261 thru UNIC LC</t>
  </si>
  <si>
    <t>Payment of Inv# 03, P-373 / 258 through UNIC LC</t>
  </si>
  <si>
    <t>Inv. No. 04, Prog# 68.06%, P-375 / 261</t>
  </si>
  <si>
    <t>Inv. No. 03, Prog# 75.91%, P-374 / 259</t>
  </si>
  <si>
    <t>Inv. No. 03, Prog# 57.12 %, P-375 / 261</t>
  </si>
  <si>
    <t>Inv. No. 03, Prog# 22.73 %, P-373 / 258</t>
  </si>
  <si>
    <t>Payment of Inv# 02, P-375 / 261 thur UNIC LC</t>
  </si>
  <si>
    <t>Payment of Inv# 02, P-374 / 259 thur UNIC LC</t>
  </si>
  <si>
    <t>Payment of Inv# 03, P-366 / 254 thur UNIC LC</t>
  </si>
  <si>
    <t>Inv. No. 04 Prog# 51.90 %, P-366 / 254</t>
  </si>
  <si>
    <t>Inv. No. 02, Prog# 33.34%, P-375 / 261</t>
  </si>
  <si>
    <t>Inv. No. 02, Prog# 45.74%, P-374 / 259</t>
  </si>
  <si>
    <t>Inv. No. 02 Prog# 18.31 %, P-373 / 258</t>
  </si>
  <si>
    <t>On account payment of Inv# 01, P-375 / 261 thru UNIC LC</t>
  </si>
  <si>
    <t>On account payment of Inv# 01, P-374 / 259 thur UNIC LC</t>
  </si>
  <si>
    <t>On account payment of Inv# 01, P-373 / 258 through UNIC LC</t>
  </si>
  <si>
    <t>Balance amount of Inv# 03, P-366 / 254 thur UNIC LC</t>
  </si>
  <si>
    <t>Inv. No. 01, Prog# 14.01%, P-375 / 261</t>
  </si>
  <si>
    <t>Inv. No. 01, Prog# 25.52%, P-374 / 259</t>
  </si>
  <si>
    <t>Inv. No. 01, Prog# 11.24%, P-373 / 258</t>
  </si>
  <si>
    <t>Inv. No. 03 Prog# 47.82%, P-366 / 254</t>
  </si>
  <si>
    <r>
      <t xml:space="preserve">Chq# 34413 Arab bank, from </t>
    </r>
    <r>
      <rPr>
        <sz val="10"/>
        <color rgb="FFFF0000"/>
        <rFont val="Arial"/>
        <family val="2"/>
      </rPr>
      <t>UNEC</t>
    </r>
    <r>
      <rPr>
        <sz val="10"/>
        <color rgb="FF323232"/>
        <rFont val="Arial"/>
        <family val="2"/>
      </rPr>
      <t xml:space="preserve"> on account payment</t>
    </r>
  </si>
  <si>
    <r>
      <t xml:space="preserve">Chq# 563439 Banque Misr, from </t>
    </r>
    <r>
      <rPr>
        <sz val="10"/>
        <color rgb="FFFF0000"/>
        <rFont val="Arial"/>
        <family val="2"/>
      </rPr>
      <t>UNEC</t>
    </r>
    <r>
      <rPr>
        <sz val="10"/>
        <color rgb="FF323232"/>
        <rFont val="Arial"/>
        <family val="2"/>
      </rPr>
      <t xml:space="preserve"> on account payment</t>
    </r>
  </si>
  <si>
    <t>Inv. No. 02 Prog# 28.14 %, P-366 / 254</t>
  </si>
  <si>
    <t>Inv. No. 01 Prog# 19.50 %, P-366 / 254</t>
  </si>
  <si>
    <t>P# 366 / 254</t>
  </si>
  <si>
    <t>P# 373 / 258</t>
  </si>
  <si>
    <t>P# 374 / 259</t>
  </si>
  <si>
    <t>P# 375 / 261</t>
  </si>
  <si>
    <t>To be checked</t>
  </si>
  <si>
    <r>
      <t xml:space="preserve">Payment received from </t>
    </r>
    <r>
      <rPr>
        <b/>
        <u/>
        <sz val="10"/>
        <color rgb="FF800000"/>
        <rFont val="Arial"/>
        <family val="2"/>
      </rPr>
      <t>Al Muhanad by Cheques</t>
    </r>
  </si>
  <si>
    <r>
      <t xml:space="preserve">Payment received from </t>
    </r>
    <r>
      <rPr>
        <b/>
        <u/>
        <sz val="10"/>
        <color rgb="FF800000"/>
        <rFont val="Arial"/>
        <family val="2"/>
      </rPr>
      <t>UNEC by Cheque</t>
    </r>
  </si>
  <si>
    <r>
      <t xml:space="preserve">Payment received from </t>
    </r>
    <r>
      <rPr>
        <b/>
        <u/>
        <sz val="10"/>
        <color rgb="FF800000"/>
        <rFont val="Arial"/>
        <family val="2"/>
      </rPr>
      <t>UNEC by LC</t>
    </r>
  </si>
  <si>
    <r>
      <t xml:space="preserve">Amount Paid by Al Muhanad to </t>
    </r>
    <r>
      <rPr>
        <b/>
        <sz val="11"/>
        <color rgb="FF800000"/>
        <rFont val="Arial"/>
        <family val="2"/>
      </rPr>
      <t>Sibca</t>
    </r>
    <r>
      <rPr>
        <sz val="11"/>
        <color theme="1"/>
        <rFont val="Arial"/>
        <family val="2"/>
      </rPr>
      <t xml:space="preserve"> on behalf of Inthar</t>
    </r>
  </si>
  <si>
    <r>
      <t xml:space="preserve">Amount Paid by Al Muhanad to </t>
    </r>
    <r>
      <rPr>
        <b/>
        <sz val="11"/>
        <color rgb="FF800000"/>
        <rFont val="Arial"/>
        <family val="2"/>
      </rPr>
      <t>Naffco</t>
    </r>
    <r>
      <rPr>
        <sz val="11"/>
        <color theme="1"/>
        <rFont val="Arial"/>
        <family val="2"/>
      </rPr>
      <t xml:space="preserve"> on behalf of Inthar</t>
    </r>
  </si>
  <si>
    <r>
      <t xml:space="preserve">Amount paid to </t>
    </r>
    <r>
      <rPr>
        <b/>
        <sz val="11"/>
        <color rgb="FF0000FF"/>
        <rFont val="Arial"/>
        <family val="2"/>
      </rPr>
      <t>Al Tahadi</t>
    </r>
    <r>
      <rPr>
        <sz val="11"/>
        <color theme="1"/>
        <rFont val="Arial"/>
        <family val="2"/>
      </rPr>
      <t xml:space="preserve"> by Al Muhannad</t>
    </r>
  </si>
  <si>
    <r>
      <rPr>
        <b/>
        <sz val="11"/>
        <color rgb="FF0000FF"/>
        <rFont val="Arial"/>
        <family val="2"/>
      </rPr>
      <t>Al Weqaya</t>
    </r>
    <r>
      <rPr>
        <sz val="11"/>
        <color theme="1"/>
        <rFont val="Arial"/>
        <family val="2"/>
      </rPr>
      <t xml:space="preserve"> Payment paid to  by Al Muhannad</t>
    </r>
  </si>
  <si>
    <r>
      <t xml:space="preserve">Amount paid to </t>
    </r>
    <r>
      <rPr>
        <b/>
        <sz val="11"/>
        <color rgb="FF0000FF"/>
        <rFont val="Arial"/>
        <family val="2"/>
      </rPr>
      <t>Firex</t>
    </r>
    <r>
      <rPr>
        <sz val="11"/>
        <color theme="1"/>
        <rFont val="Arial"/>
        <family val="2"/>
      </rPr>
      <t xml:space="preserve"> for FM 200- by Al Muhannad</t>
    </r>
  </si>
  <si>
    <r>
      <t xml:space="preserve">Amount paid to </t>
    </r>
    <r>
      <rPr>
        <b/>
        <sz val="11"/>
        <color rgb="FF0000FF"/>
        <rFont val="Arial"/>
        <family val="2"/>
      </rPr>
      <t>Firex</t>
    </r>
    <r>
      <rPr>
        <sz val="11"/>
        <color theme="1"/>
        <rFont val="Arial"/>
        <family val="2"/>
      </rPr>
      <t xml:space="preserve"> by Al Muhannad</t>
    </r>
  </si>
  <si>
    <r>
      <t xml:space="preserve">Amount paid to </t>
    </r>
    <r>
      <rPr>
        <b/>
        <sz val="11"/>
        <color rgb="FF0000FF"/>
        <rFont val="Arial"/>
        <family val="2"/>
      </rPr>
      <t>Sibca</t>
    </r>
    <r>
      <rPr>
        <sz val="11"/>
        <color theme="1"/>
        <rFont val="Arial"/>
        <family val="2"/>
      </rPr>
      <t xml:space="preserve"> by Al Muhannad</t>
    </r>
  </si>
  <si>
    <r>
      <t xml:space="preserve">Amount paid to </t>
    </r>
    <r>
      <rPr>
        <b/>
        <sz val="11"/>
        <color rgb="FF0000FF"/>
        <rFont val="Arial"/>
        <family val="2"/>
      </rPr>
      <t>Naffco</t>
    </r>
    <r>
      <rPr>
        <sz val="11"/>
        <color theme="1"/>
        <rFont val="Arial"/>
        <family val="2"/>
      </rPr>
      <t xml:space="preserve"> by Al Muhannad</t>
    </r>
  </si>
  <si>
    <r>
      <t xml:space="preserve">Amount paid to </t>
    </r>
    <r>
      <rPr>
        <b/>
        <sz val="11"/>
        <color rgb="FF0000FF"/>
        <rFont val="Arial"/>
        <family val="2"/>
      </rPr>
      <t>Technopro</t>
    </r>
    <r>
      <rPr>
        <sz val="11"/>
        <color theme="1"/>
        <rFont val="Arial"/>
        <family val="2"/>
      </rPr>
      <t xml:space="preserve"> by Al Muhannad</t>
    </r>
  </si>
  <si>
    <t xml:space="preserve">(+) Vat 5% </t>
  </si>
  <si>
    <t xml:space="preserve">(+) Variation work </t>
  </si>
  <si>
    <t>Naffco</t>
  </si>
  <si>
    <t>Amount</t>
  </si>
  <si>
    <t xml:space="preserve">Date </t>
  </si>
  <si>
    <t>Fax: 06-573 4664</t>
  </si>
  <si>
    <t>Tel: 06-573 4646</t>
  </si>
  <si>
    <t>To: Al Muhanad Electro-Mechanical Cont. LLC</t>
  </si>
  <si>
    <t>Fax: +971 6 565 0957</t>
  </si>
  <si>
    <t xml:space="preserve">Tel:  +9716 565 0937 </t>
  </si>
  <si>
    <t>Statement of Account</t>
  </si>
  <si>
    <r>
      <t xml:space="preserve">Chq# 557, BBF, paid direct to </t>
    </r>
    <r>
      <rPr>
        <sz val="11"/>
        <color rgb="FF0000FF"/>
        <rFont val="Arial"/>
        <family val="2"/>
      </rPr>
      <t>Naffco</t>
    </r>
  </si>
  <si>
    <r>
      <t xml:space="preserve">Amount paid direct to </t>
    </r>
    <r>
      <rPr>
        <sz val="11"/>
        <color rgb="FF0000FF"/>
        <rFont val="Arial"/>
        <family val="2"/>
      </rPr>
      <t>Sibca</t>
    </r>
    <r>
      <rPr>
        <sz val="11"/>
        <color rgb="FF323232"/>
        <rFont val="Arial"/>
        <family val="2"/>
      </rPr>
      <t xml:space="preserve"> against return cheques</t>
    </r>
  </si>
  <si>
    <r>
      <t xml:space="preserve">(-) Deducted amount for </t>
    </r>
    <r>
      <rPr>
        <b/>
        <sz val="11"/>
        <color rgb="FF800000"/>
        <rFont val="Arial"/>
        <family val="2"/>
      </rPr>
      <t>Al Weqayah</t>
    </r>
    <r>
      <rPr>
        <sz val="11"/>
        <color theme="1"/>
        <rFont val="Arial"/>
        <family val="2"/>
      </rPr>
      <t xml:space="preserve"> Sub contract work</t>
    </r>
  </si>
  <si>
    <r>
      <t xml:space="preserve">Amount Paid by Al Muhanad to </t>
    </r>
    <r>
      <rPr>
        <b/>
        <sz val="11"/>
        <color rgb="FF800000"/>
        <rFont val="Arial"/>
        <family val="2"/>
      </rPr>
      <t>Firex</t>
    </r>
    <r>
      <rPr>
        <sz val="11"/>
        <color theme="1"/>
        <rFont val="Arial"/>
        <family val="2"/>
      </rPr>
      <t xml:space="preserve"> on behalf of Inthar </t>
    </r>
    <r>
      <rPr>
        <sz val="11"/>
        <color rgb="FF00B050"/>
        <rFont val="Arial"/>
        <family val="2"/>
      </rPr>
      <t>(to be checked)</t>
    </r>
  </si>
  <si>
    <t>(-) Retention as of date for P-366 &amp; P-373</t>
  </si>
  <si>
    <t>Total amount received including payment to suppliers on behalf of Inthar</t>
  </si>
  <si>
    <t>(+) Variation work not yet approved</t>
  </si>
  <si>
    <t>Total including Retentions</t>
  </si>
  <si>
    <r>
      <t xml:space="preserve">P# 366 / </t>
    </r>
    <r>
      <rPr>
        <b/>
        <u/>
        <sz val="12"/>
        <color rgb="FF0033CC"/>
        <rFont val="Arial"/>
        <family val="2"/>
      </rPr>
      <t>254</t>
    </r>
  </si>
  <si>
    <r>
      <t xml:space="preserve">P# 373 / </t>
    </r>
    <r>
      <rPr>
        <b/>
        <u/>
        <sz val="12"/>
        <color rgb="FF0033CC"/>
        <rFont val="Arial"/>
        <family val="2"/>
      </rPr>
      <t>258</t>
    </r>
  </si>
  <si>
    <r>
      <t xml:space="preserve">P# 374 / </t>
    </r>
    <r>
      <rPr>
        <b/>
        <u/>
        <sz val="12"/>
        <color rgb="FF0033CC"/>
        <rFont val="Arial"/>
        <family val="2"/>
      </rPr>
      <t>259</t>
    </r>
  </si>
  <si>
    <r>
      <t xml:space="preserve">P# 375 / </t>
    </r>
    <r>
      <rPr>
        <b/>
        <u/>
        <sz val="12"/>
        <color rgb="FF0033CC"/>
        <rFont val="Arial"/>
        <family val="2"/>
      </rPr>
      <t>261</t>
    </r>
  </si>
  <si>
    <r>
      <t xml:space="preserve">Deducted amount for </t>
    </r>
    <r>
      <rPr>
        <b/>
        <sz val="11"/>
        <color rgb="FF800000"/>
        <rFont val="Arial"/>
        <family val="2"/>
      </rPr>
      <t>Al Weqayah</t>
    </r>
    <r>
      <rPr>
        <sz val="11"/>
        <color theme="1"/>
        <rFont val="Arial"/>
        <family val="2"/>
      </rPr>
      <t xml:space="preserve"> Sub contract work</t>
    </r>
  </si>
  <si>
    <r>
      <t xml:space="preserve">Deduction amount paid to </t>
    </r>
    <r>
      <rPr>
        <b/>
        <sz val="11"/>
        <color rgb="FF800000"/>
        <rFont val="Arial"/>
        <family val="2"/>
      </rPr>
      <t>Al Tahadi</t>
    </r>
    <r>
      <rPr>
        <sz val="11"/>
        <color theme="1"/>
        <rFont val="Arial"/>
        <family val="2"/>
      </rPr>
      <t xml:space="preserve"> by Memco</t>
    </r>
  </si>
  <si>
    <t>100575983000003</t>
  </si>
  <si>
    <t>ALMUHANAD ELECTROMECHANICAL WORKS L.L.C</t>
  </si>
  <si>
    <t>LC Charges</t>
  </si>
  <si>
    <r>
      <t xml:space="preserve">Payment to </t>
    </r>
    <r>
      <rPr>
        <b/>
        <sz val="11"/>
        <color rgb="FF800000"/>
        <rFont val="Arial"/>
        <family val="2"/>
      </rPr>
      <t>Bristol</t>
    </r>
    <r>
      <rPr>
        <sz val="11"/>
        <color theme="1"/>
        <rFont val="Arial"/>
        <family val="2"/>
      </rPr>
      <t xml:space="preserve"> by Al Muhanad</t>
    </r>
  </si>
  <si>
    <r>
      <t xml:space="preserve">Payment to </t>
    </r>
    <r>
      <rPr>
        <b/>
        <sz val="11"/>
        <color rgb="FF800000"/>
        <rFont val="Arial"/>
        <family val="2"/>
      </rPr>
      <t>Firex</t>
    </r>
    <r>
      <rPr>
        <sz val="11"/>
        <color theme="1"/>
        <rFont val="Arial"/>
        <family val="2"/>
      </rPr>
      <t xml:space="preserve"> by Al Muhanad</t>
    </r>
  </si>
  <si>
    <r>
      <t xml:space="preserve">Vat Payment to </t>
    </r>
    <r>
      <rPr>
        <b/>
        <sz val="11"/>
        <color rgb="FF800000"/>
        <rFont val="Arial"/>
        <family val="2"/>
      </rPr>
      <t>Firex</t>
    </r>
    <r>
      <rPr>
        <sz val="11"/>
        <color theme="1"/>
        <rFont val="Arial"/>
        <family val="2"/>
      </rPr>
      <t xml:space="preserve"> for FM200 paid by AL Muhanad</t>
    </r>
  </si>
  <si>
    <r>
      <t xml:space="preserve">Payment by Al Muhanad to </t>
    </r>
    <r>
      <rPr>
        <b/>
        <sz val="11"/>
        <color rgb="FF800000"/>
        <rFont val="Arial"/>
        <family val="2"/>
      </rPr>
      <t>Al Tahadi</t>
    </r>
    <r>
      <rPr>
        <sz val="11"/>
        <color theme="1"/>
        <rFont val="Arial"/>
        <family val="2"/>
      </rPr>
      <t xml:space="preserve"> by Memco</t>
    </r>
  </si>
  <si>
    <r>
      <t xml:space="preserve">Payment by Al Muhanad to </t>
    </r>
    <r>
      <rPr>
        <b/>
        <sz val="11"/>
        <color rgb="FF800000"/>
        <rFont val="Arial"/>
        <family val="2"/>
      </rPr>
      <t>Sibca</t>
    </r>
    <r>
      <rPr>
        <sz val="11"/>
        <color theme="1"/>
        <rFont val="Arial"/>
        <family val="2"/>
      </rPr>
      <t xml:space="preserve"> on behalf of Inthar</t>
    </r>
  </si>
  <si>
    <r>
      <t xml:space="preserve">Payment by Al Muhanad to </t>
    </r>
    <r>
      <rPr>
        <b/>
        <sz val="11"/>
        <color rgb="FF800000"/>
        <rFont val="Arial"/>
        <family val="2"/>
      </rPr>
      <t>Naffco</t>
    </r>
    <r>
      <rPr>
        <sz val="11"/>
        <color theme="1"/>
        <rFont val="Arial"/>
        <family val="2"/>
      </rPr>
      <t xml:space="preserve"> on behalf of Inthar</t>
    </r>
  </si>
  <si>
    <r>
      <t xml:space="preserve">Payment received </t>
    </r>
    <r>
      <rPr>
        <b/>
        <sz val="11"/>
        <color theme="1"/>
        <rFont val="Arial"/>
        <family val="2"/>
      </rPr>
      <t>UNEC L.C</t>
    </r>
  </si>
  <si>
    <r>
      <t xml:space="preserve">Payment received by Cheques from </t>
    </r>
    <r>
      <rPr>
        <b/>
        <sz val="11"/>
        <color theme="1"/>
        <rFont val="Arial"/>
        <family val="2"/>
      </rPr>
      <t>Al Muhanad  &amp; UNEC</t>
    </r>
  </si>
  <si>
    <t>Total including Vat 5%</t>
  </si>
  <si>
    <t>Net</t>
  </si>
  <si>
    <t>(-) Retention 10% for P-366 &amp; 373</t>
  </si>
  <si>
    <t>Total Contract including Variation</t>
  </si>
  <si>
    <t>P- 375 / 261</t>
  </si>
  <si>
    <t>P- 374 / 259</t>
  </si>
  <si>
    <t>P- 373 / 258</t>
  </si>
  <si>
    <t>P- 366 / 254</t>
  </si>
  <si>
    <t>Details of Payment received from Al Muhanad  &amp; UNEC</t>
  </si>
  <si>
    <t>Deviation from Agreement to Tender</t>
  </si>
  <si>
    <t>Rev-0</t>
  </si>
  <si>
    <t>Additional Wet Chemical System</t>
  </si>
  <si>
    <t xml:space="preserve">Deviation from Tender </t>
  </si>
  <si>
    <t>Additional Sounder &amp; Smoke for building 2 &amp; 3 as per SCD inspector</t>
  </si>
  <si>
    <t>Changing from Rectagle to Circular EM light</t>
  </si>
  <si>
    <t>Deviation from Tender as per Email request</t>
  </si>
  <si>
    <t>Rev-1</t>
  </si>
  <si>
    <t>External Outlet Points - Deviation from Tender</t>
  </si>
  <si>
    <t>Amount (AED)</t>
  </si>
  <si>
    <t xml:space="preserve">Notice Date </t>
  </si>
  <si>
    <t>Rev</t>
  </si>
  <si>
    <t>Description</t>
  </si>
  <si>
    <t>#</t>
  </si>
  <si>
    <t>Variation Summary for Project : Victoria School -Kalba P-375</t>
  </si>
  <si>
    <t>Variation Summary for Project : Victoria School -Korfakkan P-374</t>
  </si>
  <si>
    <t>Deviation from Tender to Revised Arch.</t>
  </si>
  <si>
    <t>Foam System for Main Building Gen. Room</t>
  </si>
  <si>
    <t>Additional Building</t>
  </si>
  <si>
    <t>Additional 2 new Security Room</t>
  </si>
  <si>
    <t>Additional 3 Corridors</t>
  </si>
  <si>
    <t>Additional 2 Pavilions</t>
  </si>
  <si>
    <t xml:space="preserve">Fire Cabinet Change in Location </t>
  </si>
  <si>
    <t>Deviation from Tender to Approved</t>
  </si>
  <si>
    <t>Additional Emergency Lights- Stairs</t>
  </si>
  <si>
    <t xml:space="preserve">Deviation from Tender to Initial </t>
  </si>
  <si>
    <t>Additional Clean Agent System</t>
  </si>
  <si>
    <t>Fire Pump</t>
  </si>
  <si>
    <t xml:space="preserve">Breeching Inlet for Water Tank </t>
  </si>
  <si>
    <t xml:space="preserve">Deviation from Tender to IFC </t>
  </si>
  <si>
    <t xml:space="preserve">Fire Hydrant </t>
  </si>
  <si>
    <t>Amout(AED)</t>
  </si>
  <si>
    <t>Reason</t>
  </si>
  <si>
    <t>Variation Summary for Project : Kalba University P-373</t>
  </si>
  <si>
    <t>Pending for Submission, Awaiting Prices</t>
  </si>
  <si>
    <t xml:space="preserve">IFC R2 to Final Arch. Drawings/SCD Approved </t>
  </si>
  <si>
    <t>Project Duration Extension</t>
  </si>
  <si>
    <t>Project Prologation cost</t>
  </si>
  <si>
    <t>External Cables to Service Block</t>
  </si>
  <si>
    <t>Reworks &amp; Demolition from ICFR2 to IFCR5</t>
  </si>
  <si>
    <t>Reworks &amp; Demolition IFCR2 to IFCR5</t>
  </si>
  <si>
    <t>Deviation from Tender to IFCR5</t>
  </si>
  <si>
    <t xml:space="preserve">IFC R2 to IFC R5 </t>
  </si>
  <si>
    <t xml:space="preserve">Deviation from Tender to IFCR2 </t>
  </si>
  <si>
    <t>Part -B ,IFC R0 to IFC R2 Part B Clean agent</t>
  </si>
  <si>
    <t>Part -A ,IFC R0 to IFC R2 Part A FA,VE,EM &amp; FF</t>
  </si>
  <si>
    <t>Rev-2</t>
  </si>
  <si>
    <t>Fire Hydrant &amp; HDPE Network</t>
  </si>
  <si>
    <t>Variation Summary for Project : Kalba Fish Market P-366</t>
  </si>
  <si>
    <t>(-) Payment to suppliers by Al Muhanad on behalf of Inthar</t>
  </si>
  <si>
    <t>Net to be Paid</t>
  </si>
  <si>
    <t>Retention 10% for P-366 &amp; 373 including 5% VAT</t>
  </si>
  <si>
    <t>Total amount to be paid including retention &amp; Vat</t>
  </si>
  <si>
    <t>Al Muhanad Payment Details paid to suppliers on behalf of Inthar</t>
  </si>
  <si>
    <t>Total Payment received from Al Muhanad &amp; UNEC</t>
  </si>
  <si>
    <t>Total Supplier Payments paid by Al Muhanad on behalf of Inthar</t>
  </si>
  <si>
    <t>FF Materials</t>
  </si>
  <si>
    <t>(237,024.90-226,227.75)</t>
  </si>
  <si>
    <t>Payments to suppliers by Al Muhanad no apprved from Inthar</t>
  </si>
  <si>
    <t>Technopro</t>
  </si>
  <si>
    <t>Sbica</t>
  </si>
  <si>
    <t>Firex</t>
  </si>
  <si>
    <t>UB Emirates</t>
  </si>
  <si>
    <t>Fusionpac</t>
  </si>
  <si>
    <t>Ultimate</t>
  </si>
  <si>
    <t>Apex</t>
  </si>
  <si>
    <t xml:space="preserve"> P-373 / 258</t>
  </si>
  <si>
    <t xml:space="preserve"> P-366 / 254</t>
  </si>
  <si>
    <t>Total Payment received incuding suppliers payments</t>
  </si>
  <si>
    <t xml:space="preserve">Original Contract of work of Fire alarm &amp; fire fighting work </t>
  </si>
  <si>
    <t>(-) Retention 10% for P-366 &amp; 373 excluding 5% VAT</t>
  </si>
  <si>
    <t>Total Payment received including suppliers payments</t>
  </si>
  <si>
    <t>Payments to suppliers by Al Muhanad no approved from Inthar</t>
  </si>
  <si>
    <t>Sibca</t>
  </si>
  <si>
    <t>(237,024.90-226,227.75 = 10,797.15)</t>
  </si>
  <si>
    <t xml:space="preserve">Original Contract of work of Fire Alarm &amp; Fire Fighting work </t>
  </si>
  <si>
    <t>Installation of additional works for handing over</t>
  </si>
  <si>
    <t>As per civil defense requirments for handing over.</t>
  </si>
  <si>
    <r>
      <t xml:space="preserve">Payment received </t>
    </r>
    <r>
      <rPr>
        <b/>
        <sz val="11"/>
        <color theme="1"/>
        <rFont val="Arial"/>
        <family val="2"/>
      </rPr>
      <t>Hardco Cheques</t>
    </r>
  </si>
  <si>
    <t>Paid</t>
  </si>
  <si>
    <t>Remain</t>
  </si>
  <si>
    <t>(-) Retention 10%</t>
  </si>
  <si>
    <t>S</t>
  </si>
  <si>
    <t>SI. No</t>
  </si>
  <si>
    <t>MEP Approved Amount</t>
  </si>
  <si>
    <t>DATE</t>
  </si>
  <si>
    <t>EMAIL DATED 29/10/2023</t>
  </si>
  <si>
    <t>EMAIL DATED 27/11/2023</t>
  </si>
  <si>
    <t>VO-HB-IFC-52</t>
  </si>
  <si>
    <t>Supply and Installation of Firehydrant Network</t>
  </si>
  <si>
    <t>VO-HB-IFC-53 Rev01</t>
  </si>
  <si>
    <t>Breeching Inlet Canging &amp; relocation Deviation from Tender to Initial</t>
  </si>
  <si>
    <t>VO-HB-IFC-54</t>
  </si>
  <si>
    <t>Additional Clean Agent Deviation from Tender to Initial</t>
  </si>
  <si>
    <t>VO-HB-IFC-55 Rev01</t>
  </si>
  <si>
    <t>Fire Cabinet change in location  Deviation from Tender to Revised Arch.</t>
  </si>
  <si>
    <t>VO-HB-IFC-56 Rev 01</t>
  </si>
  <si>
    <t>Fire Pump Capacity</t>
  </si>
  <si>
    <t>VO-HB-IFC-57 Rev01</t>
  </si>
  <si>
    <t>Additional Emergency Light</t>
  </si>
  <si>
    <t>VO-HB-IFC-84</t>
  </si>
  <si>
    <t>Additional Foam System in Generator Room ‐ Main Building</t>
  </si>
  <si>
    <t>VO-HB-IFC-87 Rev01</t>
  </si>
  <si>
    <t>Variation Order VO‐87‐Rev.01 Additional Civil Defense Comments</t>
  </si>
  <si>
    <t>Consultant Variation Ref</t>
  </si>
  <si>
    <t>Consultant Ref</t>
  </si>
  <si>
    <t>Please Note:-</t>
  </si>
  <si>
    <r>
      <t xml:space="preserve">2- Items No </t>
    </r>
    <r>
      <rPr>
        <u/>
        <sz val="14"/>
        <color rgb="FF000000"/>
        <rFont val="Times New Roman"/>
        <family val="1"/>
      </rPr>
      <t>(9,10,11)</t>
    </r>
    <r>
      <rPr>
        <sz val="14"/>
        <color rgb="FF000000"/>
        <rFont val="Times New Roman"/>
        <family val="1"/>
      </rPr>
      <t xml:space="preserve"> Approvals Missing Attachmen Please Provide</t>
    </r>
  </si>
  <si>
    <r>
      <t>1- The Amount Of first item Should Be Change As Per Actual Approval : (</t>
    </r>
    <r>
      <rPr>
        <b/>
        <u/>
        <sz val="14"/>
        <color rgb="FFFF0000"/>
        <rFont val="Times New Roman"/>
        <family val="1"/>
      </rPr>
      <t>AED 869,087.61</t>
    </r>
    <r>
      <rPr>
        <sz val="14"/>
        <color rgb="FF000000"/>
        <rFont val="Times New Roman"/>
        <family val="1"/>
      </rPr>
      <t>)</t>
    </r>
  </si>
  <si>
    <t>Approved-Need Consultant  Confairm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</si>
</sst>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/mm\/yyyy"/>
    <numFmt numFmtId="165" formatCode="#,##0.00;\-#,##0.00"/>
    <numFmt numFmtId="166" formatCode="_([$AED]\ * #,##0.00_);_([$AED]\ * \(#,##0.00\);_([$AED]\ * &quot;-&quot;??_);_(@_)"/>
  </numFmts>
  <fonts count="10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8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Arial"/>
      <family val="2"/>
    </font>
    <font>
      <b/>
      <sz val="8"/>
      <color rgb="FFC0000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33CC"/>
      <name val="Arial"/>
      <family val="2"/>
    </font>
    <font>
      <sz val="8"/>
      <color rgb="FF0033CC"/>
      <name val="Arial"/>
      <family val="2"/>
    </font>
    <font>
      <sz val="12"/>
      <color rgb="FF0033CC"/>
      <name val="Arial"/>
      <family val="2"/>
    </font>
    <font>
      <b/>
      <sz val="14"/>
      <color rgb="FFFF0000"/>
      <name val="Arial"/>
      <family val="2"/>
    </font>
    <font>
      <sz val="8"/>
      <color theme="1"/>
      <name val="Arial"/>
      <family val="2"/>
    </font>
    <font>
      <b/>
      <sz val="12"/>
      <color theme="0"/>
      <name val="Arial"/>
      <family val="2"/>
    </font>
    <font>
      <b/>
      <u/>
      <sz val="12"/>
      <color rgb="FF990033"/>
      <name val="Arial"/>
      <family val="2"/>
    </font>
    <font>
      <b/>
      <sz val="11"/>
      <color rgb="FF323232"/>
      <name val="Arial"/>
      <family val="2"/>
    </font>
    <font>
      <sz val="11"/>
      <color rgb="FF323232"/>
      <name val="Arial"/>
      <family val="2"/>
    </font>
    <font>
      <sz val="11"/>
      <color theme="9" tint="-0.249977111117893"/>
      <name val="Arial"/>
      <family val="2"/>
    </font>
    <font>
      <b/>
      <sz val="11"/>
      <color theme="0"/>
      <name val="Arial"/>
      <family val="2"/>
    </font>
    <font>
      <sz val="11"/>
      <color rgb="FF990033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8"/>
      <color rgb="FFC00000"/>
      <name val="Arial"/>
      <family val="2"/>
    </font>
    <font>
      <b/>
      <sz val="11"/>
      <color rgb="FF0033CC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2"/>
      <color rgb="FF9900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0"/>
      <color rgb="FF323232"/>
      <name val="Arial"/>
      <family val="2"/>
    </font>
    <font>
      <b/>
      <sz val="10"/>
      <color rgb="FF0066FF"/>
      <name val="Arial"/>
      <family val="2"/>
    </font>
    <font>
      <sz val="10"/>
      <color rgb="FF323232"/>
      <name val="Arial"/>
      <family val="2"/>
    </font>
    <font>
      <sz val="10"/>
      <color rgb="FF0066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0"/>
      <color theme="5" tint="-0.249977111117893"/>
      <name val="Arial"/>
      <family val="2"/>
    </font>
    <font>
      <sz val="10.5"/>
      <color theme="1"/>
      <name val="Arial"/>
      <family val="2"/>
    </font>
    <font>
      <sz val="10.5"/>
      <color rgb="FFC00000"/>
      <name val="Arial"/>
      <family val="2"/>
    </font>
    <font>
      <sz val="10.5"/>
      <color theme="1"/>
      <name val="Calibri"/>
      <family val="2"/>
    </font>
    <font>
      <b/>
      <sz val="10.5"/>
      <color theme="1"/>
      <name val="Arial"/>
      <family val="2"/>
    </font>
    <font>
      <sz val="10.5"/>
      <color rgb="FF0033CC"/>
      <name val="Arial"/>
      <family val="2"/>
    </font>
    <font>
      <sz val="10.5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sz val="9"/>
      <color rgb="FF0033CC"/>
      <name val="Arial"/>
      <family val="2"/>
    </font>
    <font>
      <b/>
      <sz val="9"/>
      <color theme="1"/>
      <name val="Arial"/>
      <family val="2"/>
    </font>
    <font>
      <b/>
      <sz val="8"/>
      <color rgb="FF0033CC"/>
      <name val="Arial"/>
      <family val="2"/>
    </font>
    <font>
      <b/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0.5"/>
      <color rgb="FF323232"/>
      <name val="Arial"/>
      <family val="2"/>
    </font>
    <font>
      <sz val="7"/>
      <color rgb="FF0033CC"/>
      <name val="Arial"/>
      <family val="2"/>
    </font>
    <font>
      <sz val="10"/>
      <color rgb="FFFF0000"/>
      <name val="Arial"/>
      <family val="2"/>
    </font>
    <font>
      <b/>
      <u/>
      <sz val="10"/>
      <color rgb="FF800000"/>
      <name val="Arial"/>
      <family val="2"/>
    </font>
    <font>
      <b/>
      <sz val="11"/>
      <color rgb="FF800000"/>
      <name val="Arial"/>
      <family val="2"/>
    </font>
    <font>
      <b/>
      <sz val="11"/>
      <color rgb="FF0000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33CC"/>
      <name val="Arial"/>
      <family val="2"/>
    </font>
    <font>
      <sz val="10"/>
      <color theme="1"/>
      <name val="Calibri"/>
      <family val="2"/>
    </font>
    <font>
      <b/>
      <sz val="10"/>
      <color rgb="FF0033CC"/>
      <name val="Arial"/>
      <family val="2"/>
    </font>
    <font>
      <b/>
      <u/>
      <sz val="10.5"/>
      <color theme="1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u/>
      <sz val="10"/>
      <color rgb="FF0033CC"/>
      <name val="Arial"/>
      <family val="2"/>
    </font>
    <font>
      <sz val="11"/>
      <color rgb="FF0033CC"/>
      <name val="Arial"/>
      <family val="2"/>
    </font>
    <font>
      <b/>
      <sz val="12"/>
      <color rgb="FF323232"/>
      <name val="Arial"/>
      <family val="2"/>
    </font>
    <font>
      <u/>
      <sz val="11"/>
      <color theme="1"/>
      <name val="Arial"/>
      <family val="2"/>
    </font>
    <font>
      <sz val="11"/>
      <color rgb="FF00B050"/>
      <name val="Arial"/>
      <family val="2"/>
    </font>
    <font>
      <b/>
      <u/>
      <sz val="12"/>
      <color rgb="FF0033CC"/>
      <name val="Arial"/>
      <family val="2"/>
    </font>
    <font>
      <b/>
      <sz val="12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4"/>
      <name val="Arial"/>
      <family val="2"/>
    </font>
    <font>
      <b/>
      <u/>
      <sz val="12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sz val="1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b/>
      <sz val="12"/>
      <color rgb="FF000000"/>
      <name val="Arial MT"/>
      <family val="2"/>
    </font>
    <font>
      <b/>
      <sz val="12"/>
      <name val="Arial MT"/>
    </font>
    <font>
      <b/>
      <sz val="12"/>
      <name val="Calibri"/>
      <family val="2"/>
    </font>
    <font>
      <b/>
      <sz val="12"/>
      <color rgb="FF000000"/>
      <name val="Arial"/>
      <family val="2"/>
    </font>
    <font>
      <b/>
      <u/>
      <sz val="14"/>
      <color rgb="FFFF0000"/>
      <name val="Times New Roman"/>
      <family val="1"/>
    </font>
    <font>
      <sz val="14"/>
      <color rgb="FF000000"/>
      <name val="Times New Roman"/>
      <family val="1"/>
    </font>
    <font>
      <u/>
      <sz val="14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E79C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FFECA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00CCC7"/>
        <bgColor indexed="64"/>
      </patternFill>
    </fill>
    <fill>
      <patternFill patternType="solid">
        <fgColor rgb="FF29A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1FEC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B4C6E7"/>
      </patternFill>
    </fill>
  </fills>
  <borders count="7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0" fontId="9" fillId="0" borderId="0" xfId="0" applyFont="1"/>
    <xf numFmtId="0" fontId="20" fillId="0" borderId="0" xfId="0" applyFont="1"/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vertical="center"/>
    </xf>
    <xf numFmtId="4" fontId="2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4" fontId="5" fillId="0" borderId="0" xfId="0" applyNumberFormat="1" applyFont="1" applyAlignment="1">
      <alignment horizontal="left" vertical="center"/>
    </xf>
    <xf numFmtId="0" fontId="4" fillId="0" borderId="0" xfId="0" applyFont="1"/>
    <xf numFmtId="49" fontId="16" fillId="0" borderId="1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/>
    <xf numFmtId="0" fontId="4" fillId="4" borderId="0" xfId="0" applyFont="1" applyFill="1" applyAlignment="1">
      <alignment horizontal="left" vertical="center"/>
    </xf>
    <xf numFmtId="0" fontId="9" fillId="0" borderId="5" xfId="0" applyFont="1" applyBorder="1"/>
    <xf numFmtId="0" fontId="12" fillId="0" borderId="6" xfId="0" applyFont="1" applyBorder="1" applyAlignment="1" applyProtection="1">
      <alignment horizontal="left" wrapText="1"/>
      <protection locked="0"/>
    </xf>
    <xf numFmtId="0" fontId="12" fillId="0" borderId="6" xfId="0" applyFont="1" applyBorder="1" applyAlignment="1" applyProtection="1">
      <alignment horizontal="left"/>
      <protection locked="0"/>
    </xf>
    <xf numFmtId="43" fontId="10" fillId="0" borderId="7" xfId="2" applyFont="1" applyFill="1" applyBorder="1" applyAlignment="1">
      <alignment horizontal="center" vertical="center"/>
    </xf>
    <xf numFmtId="43" fontId="13" fillId="0" borderId="8" xfId="2" applyFont="1" applyFill="1" applyBorder="1" applyAlignment="1">
      <alignment horizontal="center" vertical="center"/>
    </xf>
    <xf numFmtId="43" fontId="5" fillId="0" borderId="8" xfId="2" applyFont="1" applyFill="1" applyBorder="1" applyAlignment="1">
      <alignment horizontal="center" vertical="center"/>
    </xf>
    <xf numFmtId="43" fontId="5" fillId="0" borderId="9" xfId="2" applyFont="1" applyFill="1" applyBorder="1" applyAlignment="1">
      <alignment horizontal="center" vertical="center"/>
    </xf>
    <xf numFmtId="43" fontId="4" fillId="0" borderId="2" xfId="2" applyFont="1" applyFill="1" applyBorder="1" applyAlignment="1">
      <alignment horizontal="center" vertical="center"/>
    </xf>
    <xf numFmtId="43" fontId="4" fillId="0" borderId="10" xfId="2" applyFont="1" applyFill="1" applyBorder="1" applyAlignment="1">
      <alignment horizontal="center" vertical="center"/>
    </xf>
    <xf numFmtId="43" fontId="4" fillId="0" borderId="7" xfId="2" applyFont="1" applyFill="1" applyBorder="1" applyAlignment="1">
      <alignment horizontal="center" vertical="center"/>
    </xf>
    <xf numFmtId="43" fontId="18" fillId="2" borderId="2" xfId="2" applyFont="1" applyFill="1" applyBorder="1" applyAlignment="1">
      <alignment horizontal="center" vertical="center"/>
    </xf>
    <xf numFmtId="43" fontId="5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43" fontId="5" fillId="0" borderId="0" xfId="2" applyFont="1"/>
    <xf numFmtId="0" fontId="5" fillId="0" borderId="0" xfId="0" applyFont="1" applyAlignment="1">
      <alignment horizontal="center"/>
    </xf>
    <xf numFmtId="43" fontId="25" fillId="0" borderId="11" xfId="2" applyFont="1" applyBorder="1"/>
    <xf numFmtId="49" fontId="17" fillId="0" borderId="1" xfId="0" applyNumberFormat="1" applyFont="1" applyBorder="1" applyAlignment="1">
      <alignment vertical="center"/>
    </xf>
    <xf numFmtId="43" fontId="26" fillId="0" borderId="0" xfId="2" applyFont="1"/>
    <xf numFmtId="0" fontId="25" fillId="0" borderId="0" xfId="0" applyFont="1"/>
    <xf numFmtId="43" fontId="25" fillId="5" borderId="12" xfId="2" applyFont="1" applyFill="1" applyBorder="1"/>
    <xf numFmtId="43" fontId="25" fillId="0" borderId="12" xfId="2" applyFont="1" applyBorder="1"/>
    <xf numFmtId="49" fontId="25" fillId="0" borderId="0" xfId="0" applyNumberFormat="1" applyFont="1"/>
    <xf numFmtId="49" fontId="25" fillId="0" borderId="0" xfId="0" applyNumberFormat="1" applyFont="1" applyAlignment="1">
      <alignment horizontal="center"/>
    </xf>
    <xf numFmtId="164" fontId="25" fillId="0" borderId="0" xfId="0" applyNumberFormat="1" applyFont="1"/>
    <xf numFmtId="43" fontId="26" fillId="0" borderId="0" xfId="2" applyFont="1" applyBorder="1"/>
    <xf numFmtId="49" fontId="26" fillId="0" borderId="0" xfId="0" applyNumberFormat="1" applyFont="1"/>
    <xf numFmtId="49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4" fontId="26" fillId="0" borderId="0" xfId="0" applyNumberFormat="1" applyFont="1"/>
    <xf numFmtId="43" fontId="26" fillId="5" borderId="0" xfId="2" applyFont="1" applyFill="1"/>
    <xf numFmtId="43" fontId="28" fillId="6" borderId="3" xfId="2" applyFont="1" applyFill="1" applyBorder="1" applyAlignment="1">
      <alignment horizontal="center" vertical="center"/>
    </xf>
    <xf numFmtId="43" fontId="28" fillId="6" borderId="2" xfId="2" applyFont="1" applyFill="1" applyBorder="1" applyAlignment="1">
      <alignment horizontal="center" vertical="center"/>
    </xf>
    <xf numFmtId="49" fontId="28" fillId="6" borderId="2" xfId="0" applyNumberFormat="1" applyFont="1" applyFill="1" applyBorder="1" applyAlignment="1">
      <alignment horizontal="center" vertical="center"/>
    </xf>
    <xf numFmtId="43" fontId="25" fillId="0" borderId="0" xfId="2" applyFont="1" applyBorder="1"/>
    <xf numFmtId="0" fontId="29" fillId="0" borderId="0" xfId="0" applyFont="1"/>
    <xf numFmtId="43" fontId="4" fillId="0" borderId="13" xfId="2" applyFont="1" applyBorder="1"/>
    <xf numFmtId="43" fontId="5" fillId="0" borderId="14" xfId="2" applyFont="1" applyBorder="1"/>
    <xf numFmtId="43" fontId="4" fillId="0" borderId="15" xfId="2" applyFont="1" applyBorder="1"/>
    <xf numFmtId="43" fontId="30" fillId="0" borderId="8" xfId="2" applyFont="1" applyFill="1" applyBorder="1" applyAlignment="1">
      <alignment horizontal="center" vertical="center"/>
    </xf>
    <xf numFmtId="43" fontId="32" fillId="0" borderId="8" xfId="2" applyFont="1" applyFill="1" applyBorder="1" applyAlignment="1">
      <alignment horizontal="center" vertical="center"/>
    </xf>
    <xf numFmtId="43" fontId="22" fillId="0" borderId="0" xfId="2" applyFont="1"/>
    <xf numFmtId="43" fontId="22" fillId="0" borderId="0" xfId="2" applyFont="1" applyBorder="1"/>
    <xf numFmtId="43" fontId="19" fillId="0" borderId="0" xfId="2" applyFont="1"/>
    <xf numFmtId="43" fontId="5" fillId="0" borderId="0" xfId="2" applyFont="1" applyAlignment="1">
      <alignment horizontal="left" vertical="center"/>
    </xf>
    <xf numFmtId="43" fontId="4" fillId="0" borderId="4" xfId="2" applyFont="1" applyFill="1" applyBorder="1" applyAlignment="1">
      <alignment horizontal="center" vertical="center"/>
    </xf>
    <xf numFmtId="0" fontId="14" fillId="0" borderId="17" xfId="0" applyFont="1" applyBorder="1" applyAlignment="1">
      <alignment vertical="center"/>
    </xf>
    <xf numFmtId="49" fontId="33" fillId="0" borderId="17" xfId="0" applyNumberFormat="1" applyFont="1" applyBorder="1" applyAlignment="1">
      <alignment vertical="center"/>
    </xf>
    <xf numFmtId="49" fontId="16" fillId="0" borderId="17" xfId="0" applyNumberFormat="1" applyFont="1" applyBorder="1" applyAlignment="1">
      <alignment vertical="center"/>
    </xf>
    <xf numFmtId="49" fontId="16" fillId="0" borderId="18" xfId="0" applyNumberFormat="1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31" fillId="0" borderId="17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14" fontId="18" fillId="2" borderId="22" xfId="0" applyNumberFormat="1" applyFont="1" applyFill="1" applyBorder="1" applyAlignment="1">
      <alignment horizontal="center" vertical="center"/>
    </xf>
    <xf numFmtId="43" fontId="35" fillId="2" borderId="2" xfId="2" applyFont="1" applyFill="1" applyBorder="1" applyAlignment="1">
      <alignment horizontal="center" vertical="center"/>
    </xf>
    <xf numFmtId="4" fontId="16" fillId="0" borderId="0" xfId="0" applyNumberFormat="1" applyFont="1"/>
    <xf numFmtId="9" fontId="16" fillId="0" borderId="0" xfId="0" applyNumberFormat="1" applyFont="1"/>
    <xf numFmtId="43" fontId="16" fillId="0" borderId="0" xfId="0" applyNumberFormat="1" applyFont="1"/>
    <xf numFmtId="4" fontId="5" fillId="0" borderId="0" xfId="0" applyNumberFormat="1" applyFont="1"/>
    <xf numFmtId="9" fontId="5" fillId="0" borderId="0" xfId="0" applyNumberFormat="1" applyFont="1"/>
    <xf numFmtId="0" fontId="40" fillId="0" borderId="0" xfId="0" applyFont="1"/>
    <xf numFmtId="0" fontId="41" fillId="0" borderId="0" xfId="0" applyFont="1"/>
    <xf numFmtId="165" fontId="41" fillId="0" borderId="12" xfId="0" applyNumberFormat="1" applyFont="1" applyBorder="1"/>
    <xf numFmtId="49" fontId="41" fillId="0" borderId="0" xfId="0" applyNumberFormat="1" applyFont="1"/>
    <xf numFmtId="164" fontId="41" fillId="0" borderId="0" xfId="0" applyNumberFormat="1" applyFont="1"/>
    <xf numFmtId="49" fontId="42" fillId="0" borderId="0" xfId="0" applyNumberFormat="1" applyFont="1"/>
    <xf numFmtId="165" fontId="43" fillId="0" borderId="16" xfId="0" applyNumberFormat="1" applyFont="1" applyBorder="1"/>
    <xf numFmtId="49" fontId="43" fillId="0" borderId="0" xfId="0" applyNumberFormat="1" applyFont="1"/>
    <xf numFmtId="164" fontId="43" fillId="0" borderId="0" xfId="0" applyNumberFormat="1" applyFont="1"/>
    <xf numFmtId="49" fontId="44" fillId="0" borderId="0" xfId="0" applyNumberFormat="1" applyFont="1"/>
    <xf numFmtId="165" fontId="43" fillId="0" borderId="0" xfId="0" applyNumberFormat="1" applyFont="1"/>
    <xf numFmtId="165" fontId="41" fillId="0" borderId="0" xfId="0" applyNumberFormat="1" applyFont="1"/>
    <xf numFmtId="165" fontId="43" fillId="0" borderId="24" xfId="0" applyNumberFormat="1" applyFont="1" applyBorder="1"/>
    <xf numFmtId="0" fontId="39" fillId="0" borderId="0" xfId="0" applyFont="1"/>
    <xf numFmtId="0" fontId="0" fillId="0" borderId="0" xfId="0" applyAlignment="1">
      <alignment horizontal="center"/>
    </xf>
    <xf numFmtId="49" fontId="41" fillId="0" borderId="2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40" fillId="0" borderId="0" xfId="0" applyNumberFormat="1" applyFont="1" applyAlignment="1">
      <alignment horizontal="center"/>
    </xf>
    <xf numFmtId="43" fontId="0" fillId="0" borderId="0" xfId="2" applyFont="1"/>
    <xf numFmtId="43" fontId="41" fillId="0" borderId="12" xfId="2" applyFont="1" applyBorder="1"/>
    <xf numFmtId="43" fontId="41" fillId="0" borderId="0" xfId="2" applyFont="1"/>
    <xf numFmtId="43" fontId="43" fillId="0" borderId="16" xfId="2" applyFont="1" applyBorder="1"/>
    <xf numFmtId="43" fontId="43" fillId="0" borderId="0" xfId="2" applyFont="1"/>
    <xf numFmtId="43" fontId="43" fillId="0" borderId="0" xfId="2" applyFont="1" applyBorder="1"/>
    <xf numFmtId="49" fontId="40" fillId="0" borderId="0" xfId="0" applyNumberFormat="1" applyFont="1"/>
    <xf numFmtId="43" fontId="43" fillId="0" borderId="24" xfId="2" applyFont="1" applyBorder="1"/>
    <xf numFmtId="43" fontId="41" fillId="0" borderId="25" xfId="2" applyFont="1" applyBorder="1" applyAlignment="1">
      <alignment horizontal="center"/>
    </xf>
    <xf numFmtId="43" fontId="0" fillId="0" borderId="0" xfId="2" applyFont="1" applyAlignment="1">
      <alignment horizontal="center"/>
    </xf>
    <xf numFmtId="49" fontId="42" fillId="0" borderId="25" xfId="0" applyNumberFormat="1" applyFont="1" applyBorder="1" applyAlignment="1">
      <alignment horizontal="center"/>
    </xf>
    <xf numFmtId="0" fontId="18" fillId="0" borderId="0" xfId="0" applyFont="1" applyAlignment="1">
      <alignment vertical="center"/>
    </xf>
    <xf numFmtId="43" fontId="45" fillId="0" borderId="0" xfId="2" applyFont="1" applyAlignment="1">
      <alignment vertical="center"/>
    </xf>
    <xf numFmtId="43" fontId="46" fillId="0" borderId="0" xfId="2" applyFont="1" applyAlignment="1">
      <alignment vertical="center"/>
    </xf>
    <xf numFmtId="0" fontId="18" fillId="2" borderId="2" xfId="0" applyFont="1" applyFill="1" applyBorder="1" applyAlignment="1">
      <alignment vertical="center"/>
    </xf>
    <xf numFmtId="0" fontId="38" fillId="0" borderId="26" xfId="0" applyFont="1" applyBorder="1" applyAlignment="1">
      <alignment vertical="center"/>
    </xf>
    <xf numFmtId="0" fontId="12" fillId="0" borderId="27" xfId="0" applyFont="1" applyBorder="1" applyAlignment="1" applyProtection="1">
      <alignment horizontal="left" vertical="center" wrapText="1"/>
      <protection locked="0"/>
    </xf>
    <xf numFmtId="43" fontId="37" fillId="0" borderId="27" xfId="2" applyFont="1" applyFill="1" applyBorder="1" applyAlignment="1">
      <alignment horizontal="center" vertical="center"/>
    </xf>
    <xf numFmtId="43" fontId="36" fillId="0" borderId="27" xfId="2" applyFont="1" applyFill="1" applyBorder="1" applyAlignment="1">
      <alignment horizontal="center" vertical="center"/>
    </xf>
    <xf numFmtId="0" fontId="12" fillId="0" borderId="27" xfId="0" applyFont="1" applyBorder="1" applyAlignment="1" applyProtection="1">
      <alignment horizontal="left" vertical="center"/>
      <protection locked="0"/>
    </xf>
    <xf numFmtId="14" fontId="15" fillId="0" borderId="26" xfId="0" applyNumberFormat="1" applyFont="1" applyBorder="1" applyAlignment="1">
      <alignment horizontal="center" vertical="center"/>
    </xf>
    <xf numFmtId="49" fontId="16" fillId="0" borderId="27" xfId="0" applyNumberFormat="1" applyFont="1" applyBorder="1" applyAlignment="1">
      <alignment vertical="center"/>
    </xf>
    <xf numFmtId="43" fontId="5" fillId="0" borderId="27" xfId="2" applyFont="1" applyFill="1" applyBorder="1" applyAlignment="1">
      <alignment horizontal="center" vertical="center"/>
    </xf>
    <xf numFmtId="43" fontId="4" fillId="0" borderId="27" xfId="2" applyFont="1" applyFill="1" applyBorder="1" applyAlignment="1">
      <alignment horizontal="center" vertical="center"/>
    </xf>
    <xf numFmtId="14" fontId="15" fillId="0" borderId="28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vertical="center"/>
    </xf>
    <xf numFmtId="43" fontId="5" fillId="0" borderId="29" xfId="2" applyFont="1" applyFill="1" applyBorder="1" applyAlignment="1">
      <alignment horizontal="center" vertical="center"/>
    </xf>
    <xf numFmtId="43" fontId="4" fillId="0" borderId="29" xfId="2" applyFont="1" applyFill="1" applyBorder="1" applyAlignment="1">
      <alignment horizontal="center" vertical="center"/>
    </xf>
    <xf numFmtId="0" fontId="38" fillId="0" borderId="30" xfId="0" applyFont="1" applyBorder="1" applyAlignment="1">
      <alignment vertical="center"/>
    </xf>
    <xf numFmtId="0" fontId="12" fillId="0" borderId="31" xfId="0" applyFont="1" applyBorder="1" applyAlignment="1" applyProtection="1">
      <alignment horizontal="left" vertical="center" wrapText="1"/>
      <protection locked="0"/>
    </xf>
    <xf numFmtId="43" fontId="37" fillId="0" borderId="31" xfId="2" applyFont="1" applyFill="1" applyBorder="1" applyAlignment="1">
      <alignment horizontal="center" vertical="center"/>
    </xf>
    <xf numFmtId="43" fontId="36" fillId="0" borderId="31" xfId="2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4" fontId="28" fillId="3" borderId="2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/>
    <xf numFmtId="43" fontId="10" fillId="4" borderId="7" xfId="2" applyFont="1" applyFill="1" applyBorder="1" applyAlignment="1">
      <alignment horizontal="center" vertical="center"/>
    </xf>
    <xf numFmtId="43" fontId="34" fillId="4" borderId="0" xfId="2" applyFont="1" applyFill="1"/>
    <xf numFmtId="0" fontId="9" fillId="4" borderId="0" xfId="0" applyFont="1" applyFill="1"/>
    <xf numFmtId="0" fontId="47" fillId="0" borderId="0" xfId="0" applyFont="1"/>
    <xf numFmtId="43" fontId="48" fillId="0" borderId="0" xfId="0" applyNumberFormat="1" applyFont="1"/>
    <xf numFmtId="0" fontId="5" fillId="2" borderId="0" xfId="0" applyFont="1" applyFill="1"/>
    <xf numFmtId="0" fontId="42" fillId="0" borderId="0" xfId="0" applyFont="1"/>
    <xf numFmtId="165" fontId="42" fillId="0" borderId="0" xfId="0" applyNumberFormat="1" applyFont="1"/>
    <xf numFmtId="49" fontId="42" fillId="0" borderId="0" xfId="0" applyNumberFormat="1" applyFont="1" applyAlignment="1">
      <alignment horizontal="center"/>
    </xf>
    <xf numFmtId="164" fontId="42" fillId="0" borderId="0" xfId="0" applyNumberFormat="1" applyFont="1"/>
    <xf numFmtId="165" fontId="42" fillId="0" borderId="12" xfId="0" applyNumberFormat="1" applyFont="1" applyBorder="1"/>
    <xf numFmtId="49" fontId="43" fillId="0" borderId="0" xfId="0" applyNumberFormat="1" applyFont="1" applyAlignment="1">
      <alignment horizontal="center"/>
    </xf>
    <xf numFmtId="0" fontId="49" fillId="0" borderId="0" xfId="0" applyFont="1"/>
    <xf numFmtId="165" fontId="42" fillId="0" borderId="16" xfId="0" applyNumberFormat="1" applyFont="1" applyBorder="1"/>
    <xf numFmtId="49" fontId="43" fillId="0" borderId="0" xfId="0" applyNumberFormat="1" applyFont="1" applyAlignment="1">
      <alignment horizontal="centerContinuous"/>
    </xf>
    <xf numFmtId="49" fontId="41" fillId="0" borderId="0" xfId="0" applyNumberFormat="1" applyFont="1" applyAlignment="1">
      <alignment horizontal="center"/>
    </xf>
    <xf numFmtId="165" fontId="43" fillId="2" borderId="0" xfId="0" applyNumberFormat="1" applyFont="1" applyFill="1"/>
    <xf numFmtId="49" fontId="43" fillId="2" borderId="0" xfId="0" applyNumberFormat="1" applyFont="1" applyFill="1"/>
    <xf numFmtId="49" fontId="43" fillId="2" borderId="0" xfId="0" applyNumberFormat="1" applyFont="1" applyFill="1" applyAlignment="1">
      <alignment horizontal="centerContinuous"/>
    </xf>
    <xf numFmtId="49" fontId="43" fillId="2" borderId="0" xfId="0" applyNumberFormat="1" applyFont="1" applyFill="1" applyAlignment="1">
      <alignment horizontal="center"/>
    </xf>
    <xf numFmtId="164" fontId="43" fillId="2" borderId="0" xfId="0" applyNumberFormat="1" applyFont="1" applyFill="1"/>
    <xf numFmtId="165" fontId="43" fillId="7" borderId="0" xfId="0" applyNumberFormat="1" applyFont="1" applyFill="1"/>
    <xf numFmtId="49" fontId="43" fillId="7" borderId="0" xfId="0" applyNumberFormat="1" applyFont="1" applyFill="1"/>
    <xf numFmtId="49" fontId="43" fillId="7" borderId="0" xfId="0" applyNumberFormat="1" applyFont="1" applyFill="1" applyAlignment="1">
      <alignment horizontal="centerContinuous"/>
    </xf>
    <xf numFmtId="49" fontId="43" fillId="7" borderId="0" xfId="0" applyNumberFormat="1" applyFont="1" applyFill="1" applyAlignment="1">
      <alignment horizontal="center"/>
    </xf>
    <xf numFmtId="164" fontId="43" fillId="7" borderId="0" xfId="0" applyNumberFormat="1" applyFont="1" applyFill="1"/>
    <xf numFmtId="49" fontId="17" fillId="0" borderId="11" xfId="0" applyNumberFormat="1" applyFont="1" applyBorder="1" applyAlignment="1">
      <alignment vertical="center"/>
    </xf>
    <xf numFmtId="0" fontId="5" fillId="0" borderId="0" xfId="0" applyFont="1" applyAlignment="1">
      <alignment horizontal="left"/>
    </xf>
    <xf numFmtId="0" fontId="51" fillId="0" borderId="0" xfId="0" applyFont="1"/>
    <xf numFmtId="0" fontId="52" fillId="4" borderId="0" xfId="0" applyFont="1" applyFill="1"/>
    <xf numFmtId="9" fontId="51" fillId="0" borderId="0" xfId="5" applyFont="1"/>
    <xf numFmtId="0" fontId="52" fillId="0" borderId="0" xfId="0" applyFont="1"/>
    <xf numFmtId="0" fontId="55" fillId="0" borderId="0" xfId="0" applyFont="1"/>
    <xf numFmtId="43" fontId="51" fillId="0" borderId="0" xfId="2" applyFont="1" applyFill="1" applyBorder="1" applyAlignment="1">
      <alignment horizontal="center" vertical="center"/>
    </xf>
    <xf numFmtId="43" fontId="51" fillId="0" borderId="0" xfId="2" applyFont="1" applyBorder="1" applyAlignment="1">
      <alignment horizontal="center" vertical="center"/>
    </xf>
    <xf numFmtId="43" fontId="51" fillId="0" borderId="0" xfId="2" applyFont="1" applyAlignment="1">
      <alignment horizontal="center" vertical="center"/>
    </xf>
    <xf numFmtId="0" fontId="54" fillId="0" borderId="0" xfId="0" applyFont="1"/>
    <xf numFmtId="43" fontId="54" fillId="0" borderId="0" xfId="0" applyNumberFormat="1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43" fontId="51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8" fillId="4" borderId="0" xfId="0" applyFont="1" applyFill="1" applyAlignment="1">
      <alignment horizontal="center"/>
    </xf>
    <xf numFmtId="9" fontId="57" fillId="0" borderId="0" xfId="5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49" fontId="33" fillId="4" borderId="17" xfId="0" applyNumberFormat="1" applyFont="1" applyFill="1" applyBorder="1" applyAlignment="1">
      <alignment vertical="center"/>
    </xf>
    <xf numFmtId="49" fontId="33" fillId="2" borderId="17" xfId="0" applyNumberFormat="1" applyFont="1" applyFill="1" applyBorder="1" applyAlignment="1">
      <alignment vertical="center"/>
    </xf>
    <xf numFmtId="0" fontId="60" fillId="0" borderId="0" xfId="0" applyFont="1" applyAlignment="1">
      <alignment horizontal="center"/>
    </xf>
    <xf numFmtId="43" fontId="62" fillId="0" borderId="0" xfId="2" applyFont="1"/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43" fontId="17" fillId="0" borderId="0" xfId="2" applyFont="1" applyAlignment="1">
      <alignment vertical="center"/>
    </xf>
    <xf numFmtId="43" fontId="4" fillId="0" borderId="0" xfId="0" applyNumberFormat="1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43" fontId="17" fillId="0" borderId="0" xfId="2" applyFont="1"/>
    <xf numFmtId="43" fontId="17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vertical="center"/>
    </xf>
    <xf numFmtId="0" fontId="5" fillId="8" borderId="0" xfId="0" applyFont="1" applyFill="1"/>
    <xf numFmtId="165" fontId="0" fillId="8" borderId="0" xfId="0" applyNumberFormat="1" applyFill="1"/>
    <xf numFmtId="165" fontId="0" fillId="2" borderId="0" xfId="0" applyNumberFormat="1" applyFill="1"/>
    <xf numFmtId="0" fontId="5" fillId="10" borderId="0" xfId="0" applyFont="1" applyFill="1"/>
    <xf numFmtId="165" fontId="0" fillId="10" borderId="0" xfId="0" applyNumberFormat="1" applyFill="1"/>
    <xf numFmtId="43" fontId="64" fillId="0" borderId="11" xfId="2" applyFont="1" applyBorder="1"/>
    <xf numFmtId="0" fontId="5" fillId="5" borderId="0" xfId="0" applyFont="1" applyFill="1"/>
    <xf numFmtId="165" fontId="0" fillId="5" borderId="0" xfId="0" applyNumberFormat="1" applyFill="1"/>
    <xf numFmtId="0" fontId="5" fillId="11" borderId="0" xfId="0" applyFont="1" applyFill="1"/>
    <xf numFmtId="165" fontId="0" fillId="11" borderId="0" xfId="0" applyNumberFormat="1" applyFill="1"/>
    <xf numFmtId="43" fontId="65" fillId="0" borderId="0" xfId="2" applyFont="1" applyAlignment="1">
      <alignment vertical="center"/>
    </xf>
    <xf numFmtId="0" fontId="0" fillId="4" borderId="0" xfId="0" applyFill="1"/>
    <xf numFmtId="165" fontId="41" fillId="4" borderId="12" xfId="0" applyNumberFormat="1" applyFont="1" applyFill="1" applyBorder="1"/>
    <xf numFmtId="165" fontId="43" fillId="4" borderId="16" xfId="0" applyNumberFormat="1" applyFont="1" applyFill="1" applyBorder="1"/>
    <xf numFmtId="165" fontId="43" fillId="4" borderId="0" xfId="0" applyNumberFormat="1" applyFont="1" applyFill="1"/>
    <xf numFmtId="165" fontId="41" fillId="4" borderId="0" xfId="0" applyNumberFormat="1" applyFont="1" applyFill="1"/>
    <xf numFmtId="165" fontId="43" fillId="4" borderId="24" xfId="0" applyNumberFormat="1" applyFont="1" applyFill="1" applyBorder="1"/>
    <xf numFmtId="165" fontId="43" fillId="12" borderId="0" xfId="0" applyNumberFormat="1" applyFont="1" applyFill="1"/>
    <xf numFmtId="165" fontId="43" fillId="9" borderId="0" xfId="0" applyNumberFormat="1" applyFont="1" applyFill="1"/>
    <xf numFmtId="165" fontId="43" fillId="13" borderId="0" xfId="0" applyNumberFormat="1" applyFont="1" applyFill="1"/>
    <xf numFmtId="49" fontId="41" fillId="4" borderId="25" xfId="0" applyNumberFormat="1" applyFont="1" applyFill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/>
    <xf numFmtId="4" fontId="5" fillId="0" borderId="8" xfId="0" applyNumberFormat="1" applyFont="1" applyBorder="1" applyAlignment="1">
      <alignment vertical="center"/>
    </xf>
    <xf numFmtId="4" fontId="5" fillId="0" borderId="8" xfId="0" applyNumberFormat="1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4" fontId="5" fillId="0" borderId="8" xfId="0" applyNumberFormat="1" applyFont="1" applyBorder="1" applyAlignment="1">
      <alignment horizontal="center" vertical="center"/>
    </xf>
    <xf numFmtId="4" fontId="5" fillId="14" borderId="8" xfId="0" applyNumberFormat="1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4" fontId="23" fillId="3" borderId="2" xfId="0" applyNumberFormat="1" applyFont="1" applyFill="1" applyBorder="1" applyAlignment="1">
      <alignment horizontal="center" vertical="center" wrapText="1"/>
    </xf>
    <xf numFmtId="14" fontId="8" fillId="4" borderId="7" xfId="0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14" fontId="11" fillId="0" borderId="8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9" fontId="15" fillId="0" borderId="9" xfId="5" applyFont="1" applyFill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/>
    </xf>
    <xf numFmtId="14" fontId="17" fillId="0" borderId="10" xfId="0" applyNumberFormat="1" applyFont="1" applyBorder="1" applyAlignment="1">
      <alignment horizontal="center" vertical="center"/>
    </xf>
    <xf numFmtId="14" fontId="17" fillId="0" borderId="7" xfId="0" applyNumberFormat="1" applyFont="1" applyBorder="1" applyAlignment="1">
      <alignment horizontal="center" vertical="center"/>
    </xf>
    <xf numFmtId="14" fontId="18" fillId="2" borderId="2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/>
    <xf numFmtId="4" fontId="5" fillId="0" borderId="9" xfId="0" applyNumberFormat="1" applyFont="1" applyBorder="1" applyAlignment="1">
      <alignment vertical="center"/>
    </xf>
    <xf numFmtId="4" fontId="5" fillId="0" borderId="9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4" fontId="4" fillId="0" borderId="2" xfId="0" applyNumberFormat="1" applyFont="1" applyBorder="1" applyAlignment="1">
      <alignment vertical="center"/>
    </xf>
    <xf numFmtId="43" fontId="61" fillId="0" borderId="2" xfId="0" applyNumberFormat="1" applyFont="1" applyBorder="1"/>
    <xf numFmtId="0" fontId="17" fillId="0" borderId="2" xfId="0" applyFont="1" applyBorder="1" applyAlignment="1">
      <alignment horizontal="left" vertical="center"/>
    </xf>
    <xf numFmtId="0" fontId="17" fillId="0" borderId="2" xfId="0" applyFont="1" applyBorder="1"/>
    <xf numFmtId="4" fontId="17" fillId="0" borderId="2" xfId="0" applyNumberFormat="1" applyFont="1" applyBorder="1" applyAlignment="1">
      <alignment horizontal="center" vertical="center"/>
    </xf>
    <xf numFmtId="4" fontId="17" fillId="0" borderId="2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4" fontId="5" fillId="0" borderId="7" xfId="0" applyNumberFormat="1" applyFont="1" applyBorder="1" applyAlignment="1">
      <alignment vertical="center"/>
    </xf>
    <xf numFmtId="4" fontId="5" fillId="0" borderId="7" xfId="0" applyNumberFormat="1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3" fontId="61" fillId="0" borderId="23" xfId="0" applyNumberFormat="1" applyFont="1" applyBorder="1"/>
    <xf numFmtId="0" fontId="4" fillId="0" borderId="7" xfId="0" applyFont="1" applyBorder="1" applyAlignment="1">
      <alignment horizontal="right" vertical="center"/>
    </xf>
    <xf numFmtId="0" fontId="63" fillId="0" borderId="7" xfId="0" applyFont="1" applyBorder="1" applyAlignment="1">
      <alignment horizontal="left" vertical="center"/>
    </xf>
    <xf numFmtId="43" fontId="5" fillId="0" borderId="7" xfId="2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4" xfId="0" applyFont="1" applyBorder="1"/>
    <xf numFmtId="4" fontId="5" fillId="0" borderId="34" xfId="0" applyNumberFormat="1" applyFont="1" applyBorder="1" applyAlignment="1">
      <alignment horizontal="center" vertical="center"/>
    </xf>
    <xf numFmtId="4" fontId="5" fillId="0" borderId="34" xfId="0" applyNumberFormat="1" applyFont="1" applyBorder="1" applyAlignment="1">
      <alignment horizontal="left" vertical="center"/>
    </xf>
    <xf numFmtId="43" fontId="51" fillId="0" borderId="0" xfId="2" applyFont="1"/>
    <xf numFmtId="43" fontId="57" fillId="0" borderId="0" xfId="2" applyFont="1" applyAlignment="1">
      <alignment horizontal="center"/>
    </xf>
    <xf numFmtId="43" fontId="52" fillId="4" borderId="0" xfId="2" applyFont="1" applyFill="1"/>
    <xf numFmtId="43" fontId="53" fillId="0" borderId="0" xfId="2" applyFont="1"/>
    <xf numFmtId="43" fontId="52" fillId="0" borderId="0" xfId="2" applyFont="1"/>
    <xf numFmtId="43" fontId="9" fillId="0" borderId="0" xfId="2" applyFont="1"/>
    <xf numFmtId="43" fontId="51" fillId="0" borderId="0" xfId="2" applyFont="1" applyBorder="1"/>
    <xf numFmtId="43" fontId="54" fillId="0" borderId="0" xfId="2" applyFont="1"/>
    <xf numFmtId="43" fontId="55" fillId="0" borderId="0" xfId="2" applyFont="1"/>
    <xf numFmtId="43" fontId="56" fillId="0" borderId="0" xfId="2" applyFont="1" applyBorder="1" applyAlignment="1">
      <alignment horizontal="right" vertical="center"/>
    </xf>
    <xf numFmtId="43" fontId="54" fillId="0" borderId="0" xfId="2" applyFont="1" applyBorder="1" applyAlignment="1">
      <alignment horizontal="center" vertical="center"/>
    </xf>
    <xf numFmtId="43" fontId="4" fillId="0" borderId="0" xfId="2" applyFont="1"/>
    <xf numFmtId="43" fontId="5" fillId="0" borderId="0" xfId="2" applyFont="1" applyAlignment="1">
      <alignment horizontal="center" vertical="center"/>
    </xf>
    <xf numFmtId="43" fontId="5" fillId="14" borderId="0" xfId="2" applyFont="1" applyFill="1" applyAlignment="1">
      <alignment horizontal="center" vertical="center"/>
    </xf>
    <xf numFmtId="0" fontId="15" fillId="0" borderId="0" xfId="0" applyFont="1"/>
    <xf numFmtId="43" fontId="15" fillId="0" borderId="0" xfId="2" applyFont="1"/>
    <xf numFmtId="43" fontId="70" fillId="0" borderId="0" xfId="0" applyNumberFormat="1" applyFont="1" applyAlignment="1">
      <alignment horizontal="center" vertical="center"/>
    </xf>
    <xf numFmtId="43" fontId="70" fillId="0" borderId="0" xfId="2" applyFont="1"/>
    <xf numFmtId="43" fontId="15" fillId="0" borderId="0" xfId="2" applyFont="1" applyAlignment="1">
      <alignment horizontal="center" vertical="center"/>
    </xf>
    <xf numFmtId="43" fontId="15" fillId="14" borderId="0" xfId="2" applyFont="1" applyFill="1" applyAlignment="1">
      <alignment horizontal="center" vertical="center"/>
    </xf>
    <xf numFmtId="0" fontId="70" fillId="0" borderId="0" xfId="0" applyFont="1"/>
    <xf numFmtId="43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3" fontId="15" fillId="0" borderId="0" xfId="2" applyFont="1" applyBorder="1" applyAlignment="1">
      <alignment horizontal="center" vertical="center"/>
    </xf>
    <xf numFmtId="43" fontId="71" fillId="0" borderId="0" xfId="2" applyFont="1" applyBorder="1" applyAlignment="1">
      <alignment horizontal="right" vertical="center"/>
    </xf>
    <xf numFmtId="43" fontId="15" fillId="0" borderId="0" xfId="2" applyFont="1" applyFill="1" applyBorder="1" applyAlignment="1">
      <alignment horizontal="center" vertical="center"/>
    </xf>
    <xf numFmtId="43" fontId="15" fillId="0" borderId="0" xfId="2" applyFont="1" applyBorder="1"/>
    <xf numFmtId="9" fontId="15" fillId="0" borderId="0" xfId="5" applyFont="1"/>
    <xf numFmtId="43" fontId="73" fillId="0" borderId="0" xfId="2" applyFont="1"/>
    <xf numFmtId="0" fontId="8" fillId="0" borderId="0" xfId="0" applyFont="1"/>
    <xf numFmtId="43" fontId="8" fillId="0" borderId="0" xfId="2" applyFont="1"/>
    <xf numFmtId="0" fontId="8" fillId="4" borderId="0" xfId="0" applyFont="1" applyFill="1"/>
    <xf numFmtId="43" fontId="8" fillId="4" borderId="0" xfId="2" applyFont="1" applyFill="1"/>
    <xf numFmtId="43" fontId="15" fillId="0" borderId="0" xfId="2" applyFont="1" applyAlignment="1">
      <alignment horizontal="center"/>
    </xf>
    <xf numFmtId="0" fontId="70" fillId="0" borderId="0" xfId="0" applyFont="1" applyAlignment="1">
      <alignment vertical="center"/>
    </xf>
    <xf numFmtId="43" fontId="70" fillId="0" borderId="0" xfId="2" applyFont="1" applyAlignment="1">
      <alignment vertical="center"/>
    </xf>
    <xf numFmtId="43" fontId="74" fillId="0" borderId="0" xfId="2" applyFont="1"/>
    <xf numFmtId="0" fontId="72" fillId="0" borderId="8" xfId="0" applyFont="1" applyBorder="1" applyAlignment="1">
      <alignment horizontal="left" vertical="center"/>
    </xf>
    <xf numFmtId="43" fontId="19" fillId="0" borderId="0" xfId="2" applyFont="1" applyAlignment="1">
      <alignment vertical="center"/>
    </xf>
    <xf numFmtId="0" fontId="24" fillId="0" borderId="35" xfId="0" applyFont="1" applyBorder="1" applyAlignment="1">
      <alignment vertical="center"/>
    </xf>
    <xf numFmtId="0" fontId="12" fillId="0" borderId="36" xfId="0" applyFont="1" applyBorder="1" applyAlignment="1" applyProtection="1">
      <alignment horizontal="left"/>
      <protection locked="0"/>
    </xf>
    <xf numFmtId="43" fontId="13" fillId="0" borderId="35" xfId="2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49" fontId="16" fillId="0" borderId="38" xfId="0" applyNumberFormat="1" applyFont="1" applyBorder="1" applyAlignment="1">
      <alignment vertical="center"/>
    </xf>
    <xf numFmtId="43" fontId="5" fillId="0" borderId="37" xfId="2" applyFont="1" applyFill="1" applyBorder="1" applyAlignment="1">
      <alignment horizontal="center" vertical="center"/>
    </xf>
    <xf numFmtId="43" fontId="4" fillId="0" borderId="0" xfId="2" applyFont="1" applyBorder="1" applyAlignment="1">
      <alignment horizontal="center" vertical="center"/>
    </xf>
    <xf numFmtId="43" fontId="17" fillId="0" borderId="2" xfId="2" applyFont="1" applyBorder="1" applyAlignment="1">
      <alignment horizontal="left" vertical="center"/>
    </xf>
    <xf numFmtId="43" fontId="17" fillId="0" borderId="2" xfId="2" applyFont="1" applyBorder="1" applyAlignment="1">
      <alignment horizontal="center" vertical="center"/>
    </xf>
    <xf numFmtId="43" fontId="5" fillId="0" borderId="34" xfId="2" applyFont="1" applyBorder="1" applyAlignment="1">
      <alignment horizontal="left" vertical="center"/>
    </xf>
    <xf numFmtId="43" fontId="5" fillId="0" borderId="34" xfId="2" applyFont="1" applyBorder="1" applyAlignment="1">
      <alignment horizontal="center" vertical="center"/>
    </xf>
    <xf numFmtId="43" fontId="5" fillId="0" borderId="8" xfId="2" applyFont="1" applyBorder="1" applyAlignment="1">
      <alignment horizontal="left" vertical="center"/>
    </xf>
    <xf numFmtId="43" fontId="5" fillId="0" borderId="8" xfId="2" applyFont="1" applyBorder="1" applyAlignment="1">
      <alignment horizontal="center" vertical="center"/>
    </xf>
    <xf numFmtId="43" fontId="5" fillId="14" borderId="8" xfId="2" applyFont="1" applyFill="1" applyBorder="1" applyAlignment="1">
      <alignment horizontal="center" vertical="center"/>
    </xf>
    <xf numFmtId="0" fontId="75" fillId="0" borderId="7" xfId="0" applyFont="1" applyBorder="1" applyAlignment="1">
      <alignment horizontal="left" vertical="center"/>
    </xf>
    <xf numFmtId="43" fontId="4" fillId="0" borderId="0" xfId="2" applyFont="1" applyBorder="1" applyAlignment="1">
      <alignment vertical="center"/>
    </xf>
    <xf numFmtId="43" fontId="76" fillId="0" borderId="2" xfId="2" applyFont="1" applyBorder="1"/>
    <xf numFmtId="43" fontId="76" fillId="0" borderId="2" xfId="2" applyFont="1" applyBorder="1" applyAlignment="1">
      <alignment vertical="center"/>
    </xf>
    <xf numFmtId="43" fontId="5" fillId="0" borderId="9" xfId="2" applyFont="1" applyBorder="1" applyAlignment="1">
      <alignment horizontal="center" vertical="center"/>
    </xf>
    <xf numFmtId="43" fontId="5" fillId="0" borderId="9" xfId="2" applyFont="1" applyBorder="1" applyAlignment="1">
      <alignment vertical="center"/>
    </xf>
    <xf numFmtId="43" fontId="5" fillId="0" borderId="8" xfId="2" applyFont="1" applyBorder="1" applyAlignment="1">
      <alignment vertical="center"/>
    </xf>
    <xf numFmtId="43" fontId="5" fillId="15" borderId="8" xfId="2" applyFont="1" applyFill="1" applyBorder="1" applyAlignment="1">
      <alignment horizontal="center" vertical="center"/>
    </xf>
    <xf numFmtId="43" fontId="5" fillId="15" borderId="8" xfId="2" applyFont="1" applyFill="1" applyBorder="1" applyAlignment="1">
      <alignment vertical="center"/>
    </xf>
    <xf numFmtId="0" fontId="5" fillId="15" borderId="8" xfId="0" applyFont="1" applyFill="1" applyBorder="1"/>
    <xf numFmtId="0" fontId="5" fillId="15" borderId="8" xfId="0" applyFont="1" applyFill="1" applyBorder="1" applyAlignment="1">
      <alignment horizontal="left" vertical="center"/>
    </xf>
    <xf numFmtId="43" fontId="5" fillId="5" borderId="8" xfId="2" applyFont="1" applyFill="1" applyBorder="1" applyAlignment="1">
      <alignment horizontal="center" vertical="center"/>
    </xf>
    <xf numFmtId="43" fontId="5" fillId="5" borderId="8" xfId="2" applyFont="1" applyFill="1" applyBorder="1" applyAlignment="1">
      <alignment vertical="center"/>
    </xf>
    <xf numFmtId="0" fontId="5" fillId="5" borderId="8" xfId="0" applyFont="1" applyFill="1" applyBorder="1"/>
    <xf numFmtId="0" fontId="5" fillId="5" borderId="8" xfId="0" applyFont="1" applyFill="1" applyBorder="1" applyAlignment="1">
      <alignment horizontal="left" vertical="center"/>
    </xf>
    <xf numFmtId="43" fontId="5" fillId="2" borderId="7" xfId="2" applyFont="1" applyFill="1" applyBorder="1" applyAlignment="1">
      <alignment horizontal="center" vertical="center"/>
    </xf>
    <xf numFmtId="43" fontId="5" fillId="2" borderId="7" xfId="2" applyFont="1" applyFill="1" applyBorder="1" applyAlignment="1">
      <alignment vertical="center"/>
    </xf>
    <xf numFmtId="0" fontId="5" fillId="2" borderId="7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20" fillId="4" borderId="0" xfId="0" applyFont="1" applyFill="1"/>
    <xf numFmtId="0" fontId="5" fillId="4" borderId="0" xfId="0" applyFont="1" applyFill="1"/>
    <xf numFmtId="0" fontId="15" fillId="4" borderId="0" xfId="0" applyFont="1" applyFill="1"/>
    <xf numFmtId="43" fontId="15" fillId="4" borderId="0" xfId="2" applyFont="1" applyFill="1"/>
    <xf numFmtId="43" fontId="18" fillId="4" borderId="2" xfId="2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vertical="center"/>
    </xf>
    <xf numFmtId="14" fontId="18" fillId="4" borderId="2" xfId="0" applyNumberFormat="1" applyFont="1" applyFill="1" applyBorder="1" applyAlignment="1">
      <alignment horizontal="center" vertical="center"/>
    </xf>
    <xf numFmtId="43" fontId="5" fillId="2" borderId="8" xfId="2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vertical="center"/>
    </xf>
    <xf numFmtId="14" fontId="15" fillId="2" borderId="8" xfId="0" applyNumberFormat="1" applyFont="1" applyFill="1" applyBorder="1" applyAlignment="1">
      <alignment horizontal="center" vertical="center"/>
    </xf>
    <xf numFmtId="0" fontId="77" fillId="0" borderId="17" xfId="0" applyFont="1" applyBorder="1" applyAlignment="1">
      <alignment vertical="center"/>
    </xf>
    <xf numFmtId="43" fontId="5" fillId="0" borderId="34" xfId="2" applyFont="1" applyFill="1" applyBorder="1" applyAlignment="1">
      <alignment horizontal="center" vertical="center"/>
    </xf>
    <xf numFmtId="49" fontId="16" fillId="0" borderId="39" xfId="0" applyNumberFormat="1" applyFont="1" applyBorder="1" applyAlignment="1">
      <alignment vertical="center"/>
    </xf>
    <xf numFmtId="9" fontId="15" fillId="0" borderId="34" xfId="5" applyFont="1" applyFill="1" applyBorder="1" applyAlignment="1">
      <alignment horizontal="center" vertical="center"/>
    </xf>
    <xf numFmtId="0" fontId="30" fillId="0" borderId="0" xfId="0" applyFont="1"/>
    <xf numFmtId="0" fontId="71" fillId="0" borderId="0" xfId="0" applyFont="1"/>
    <xf numFmtId="43" fontId="71" fillId="0" borderId="0" xfId="2" applyFont="1"/>
    <xf numFmtId="43" fontId="30" fillId="2" borderId="8" xfId="2" applyFont="1" applyFill="1" applyBorder="1" applyAlignment="1">
      <alignment horizontal="center" vertical="center"/>
    </xf>
    <xf numFmtId="49" fontId="31" fillId="2" borderId="17" xfId="0" applyNumberFormat="1" applyFont="1" applyFill="1" applyBorder="1" applyAlignment="1">
      <alignment vertical="center"/>
    </xf>
    <xf numFmtId="14" fontId="71" fillId="2" borderId="8" xfId="0" applyNumberFormat="1" applyFont="1" applyFill="1" applyBorder="1" applyAlignment="1">
      <alignment horizontal="center" vertical="center"/>
    </xf>
    <xf numFmtId="43" fontId="13" fillId="0" borderId="7" xfId="2" applyFont="1" applyFill="1" applyBorder="1" applyAlignment="1">
      <alignment horizontal="center" vertical="center"/>
    </xf>
    <xf numFmtId="0" fontId="79" fillId="0" borderId="5" xfId="0" applyFont="1" applyBorder="1" applyAlignment="1" applyProtection="1">
      <alignment horizontal="left" vertical="center"/>
      <protection locked="0"/>
    </xf>
    <xf numFmtId="0" fontId="24" fillId="0" borderId="7" xfId="0" applyFont="1" applyBorder="1" applyAlignment="1">
      <alignment vertical="center"/>
    </xf>
    <xf numFmtId="0" fontId="79" fillId="0" borderId="5" xfId="0" applyFont="1" applyBorder="1" applyAlignment="1" applyProtection="1">
      <alignment horizontal="left" vertical="center" wrapText="1"/>
      <protection locked="0"/>
    </xf>
    <xf numFmtId="0" fontId="80" fillId="0" borderId="0" xfId="0" applyFont="1"/>
    <xf numFmtId="43" fontId="23" fillId="3" borderId="2" xfId="2" applyFont="1" applyFill="1" applyBorder="1" applyAlignment="1">
      <alignment horizontal="center" vertical="center" wrapText="1"/>
    </xf>
    <xf numFmtId="43" fontId="5" fillId="0" borderId="0" xfId="2" applyFont="1" applyBorder="1" applyAlignment="1">
      <alignment horizontal="left" vertical="center"/>
    </xf>
    <xf numFmtId="43" fontId="4" fillId="0" borderId="0" xfId="2" applyFont="1" applyBorder="1" applyAlignment="1">
      <alignment horizontal="left" vertical="center"/>
    </xf>
    <xf numFmtId="43" fontId="5" fillId="0" borderId="0" xfId="2" applyFont="1" applyAlignment="1"/>
    <xf numFmtId="43" fontId="5" fillId="0" borderId="0" xfId="2" applyFont="1" applyAlignment="1">
      <alignment horizontal="left"/>
    </xf>
    <xf numFmtId="43" fontId="62" fillId="0" borderId="0" xfId="2" applyFont="1" applyAlignment="1">
      <alignment vertical="center"/>
    </xf>
    <xf numFmtId="43" fontId="25" fillId="0" borderId="40" xfId="2" applyFont="1" applyBorder="1"/>
    <xf numFmtId="43" fontId="25" fillId="0" borderId="41" xfId="2" applyFont="1" applyBorder="1"/>
    <xf numFmtId="49" fontId="25" fillId="0" borderId="42" xfId="0" applyNumberFormat="1" applyFont="1" applyBorder="1"/>
    <xf numFmtId="49" fontId="25" fillId="0" borderId="12" xfId="0" applyNumberFormat="1" applyFont="1" applyBorder="1" applyAlignment="1">
      <alignment horizontal="center"/>
    </xf>
    <xf numFmtId="164" fontId="25" fillId="0" borderId="12" xfId="0" applyNumberFormat="1" applyFont="1" applyBorder="1"/>
    <xf numFmtId="49" fontId="25" fillId="0" borderId="43" xfId="0" applyNumberFormat="1" applyFont="1" applyBorder="1"/>
    <xf numFmtId="43" fontId="25" fillId="0" borderId="44" xfId="2" applyFont="1" applyBorder="1"/>
    <xf numFmtId="43" fontId="25" fillId="0" borderId="29" xfId="2" applyFont="1" applyBorder="1"/>
    <xf numFmtId="49" fontId="25" fillId="0" borderId="45" xfId="0" applyNumberFormat="1" applyFont="1" applyBorder="1"/>
    <xf numFmtId="49" fontId="25" fillId="0" borderId="46" xfId="0" applyNumberFormat="1" applyFont="1" applyBorder="1" applyAlignment="1">
      <alignment horizontal="center"/>
    </xf>
    <xf numFmtId="164" fontId="25" fillId="0" borderId="46" xfId="0" applyNumberFormat="1" applyFont="1" applyBorder="1"/>
    <xf numFmtId="49" fontId="25" fillId="0" borderId="47" xfId="0" applyNumberFormat="1" applyFont="1" applyBorder="1"/>
    <xf numFmtId="43" fontId="25" fillId="0" borderId="48" xfId="2" applyFont="1" applyBorder="1"/>
    <xf numFmtId="43" fontId="25" fillId="0" borderId="49" xfId="2" applyFont="1" applyBorder="1"/>
    <xf numFmtId="49" fontId="25" fillId="0" borderId="50" xfId="0" applyNumberFormat="1" applyFont="1" applyBorder="1"/>
    <xf numFmtId="49" fontId="25" fillId="0" borderId="51" xfId="0" applyNumberFormat="1" applyFont="1" applyBorder="1" applyAlignment="1">
      <alignment horizontal="center"/>
    </xf>
    <xf numFmtId="164" fontId="25" fillId="0" borderId="51" xfId="0" applyNumberFormat="1" applyFont="1" applyBorder="1"/>
    <xf numFmtId="49" fontId="25" fillId="0" borderId="52" xfId="0" applyNumberFormat="1" applyFont="1" applyBorder="1"/>
    <xf numFmtId="43" fontId="26" fillId="0" borderId="53" xfId="2" applyFont="1" applyBorder="1"/>
    <xf numFmtId="43" fontId="26" fillId="0" borderId="54" xfId="2" applyFont="1" applyBorder="1"/>
    <xf numFmtId="49" fontId="26" fillId="0" borderId="54" xfId="0" applyNumberFormat="1" applyFont="1" applyBorder="1"/>
    <xf numFmtId="49" fontId="26" fillId="0" borderId="54" xfId="0" applyNumberFormat="1" applyFont="1" applyBorder="1" applyAlignment="1">
      <alignment horizontal="center"/>
    </xf>
    <xf numFmtId="0" fontId="26" fillId="0" borderId="54" xfId="0" applyFont="1" applyBorder="1" applyAlignment="1">
      <alignment horizontal="center"/>
    </xf>
    <xf numFmtId="164" fontId="26" fillId="0" borderId="54" xfId="0" applyNumberFormat="1" applyFont="1" applyBorder="1"/>
    <xf numFmtId="49" fontId="26" fillId="0" borderId="55" xfId="0" applyNumberFormat="1" applyFont="1" applyBorder="1"/>
    <xf numFmtId="43" fontId="26" fillId="0" borderId="56" xfId="2" applyFont="1" applyBorder="1"/>
    <xf numFmtId="43" fontId="26" fillId="0" borderId="27" xfId="2" applyFont="1" applyBorder="1"/>
    <xf numFmtId="49" fontId="26" fillId="0" borderId="27" xfId="0" applyNumberFormat="1" applyFont="1" applyBorder="1"/>
    <xf numFmtId="49" fontId="26" fillId="0" borderId="27" xfId="0" applyNumberFormat="1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164" fontId="26" fillId="0" borderId="27" xfId="0" applyNumberFormat="1" applyFont="1" applyBorder="1"/>
    <xf numFmtId="49" fontId="26" fillId="0" borderId="26" xfId="0" applyNumberFormat="1" applyFont="1" applyBorder="1"/>
    <xf numFmtId="49" fontId="25" fillId="0" borderId="49" xfId="0" applyNumberFormat="1" applyFont="1" applyBorder="1"/>
    <xf numFmtId="49" fontId="25" fillId="0" borderId="49" xfId="0" applyNumberFormat="1" applyFont="1" applyBorder="1" applyAlignment="1">
      <alignment horizontal="center"/>
    </xf>
    <xf numFmtId="164" fontId="25" fillId="0" borderId="49" xfId="0" applyNumberFormat="1" applyFont="1" applyBorder="1"/>
    <xf numFmtId="49" fontId="25" fillId="0" borderId="57" xfId="0" applyNumberFormat="1" applyFont="1" applyBorder="1"/>
    <xf numFmtId="43" fontId="25" fillId="0" borderId="3" xfId="2" applyFont="1" applyBorder="1"/>
    <xf numFmtId="43" fontId="25" fillId="0" borderId="2" xfId="2" applyFont="1" applyBorder="1"/>
    <xf numFmtId="49" fontId="25" fillId="0" borderId="23" xfId="0" applyNumberFormat="1" applyFont="1" applyBorder="1"/>
    <xf numFmtId="49" fontId="25" fillId="0" borderId="58" xfId="0" applyNumberFormat="1" applyFont="1" applyBorder="1"/>
    <xf numFmtId="43" fontId="25" fillId="0" borderId="59" xfId="2" applyFont="1" applyBorder="1"/>
    <xf numFmtId="43" fontId="25" fillId="0" borderId="4" xfId="2" applyFont="1" applyBorder="1"/>
    <xf numFmtId="49" fontId="25" fillId="0" borderId="60" xfId="0" applyNumberFormat="1" applyFont="1" applyBorder="1"/>
    <xf numFmtId="49" fontId="25" fillId="0" borderId="16" xfId="0" applyNumberFormat="1" applyFont="1" applyBorder="1" applyAlignment="1">
      <alignment horizontal="center"/>
    </xf>
    <xf numFmtId="164" fontId="25" fillId="0" borderId="16" xfId="0" applyNumberFormat="1" applyFont="1" applyBorder="1"/>
    <xf numFmtId="49" fontId="25" fillId="0" borderId="61" xfId="0" applyNumberFormat="1" applyFont="1" applyBorder="1"/>
    <xf numFmtId="49" fontId="25" fillId="0" borderId="62" xfId="0" applyNumberFormat="1" applyFont="1" applyBorder="1"/>
    <xf numFmtId="49" fontId="25" fillId="0" borderId="32" xfId="0" applyNumberFormat="1" applyFont="1" applyBorder="1" applyAlignment="1">
      <alignment horizontal="center"/>
    </xf>
    <xf numFmtId="164" fontId="25" fillId="0" borderId="32" xfId="0" applyNumberFormat="1" applyFont="1" applyBorder="1"/>
    <xf numFmtId="49" fontId="25" fillId="0" borderId="63" xfId="0" applyNumberFormat="1" applyFont="1" applyBorder="1"/>
    <xf numFmtId="43" fontId="25" fillId="0" borderId="56" xfId="2" applyFont="1" applyBorder="1"/>
    <xf numFmtId="43" fontId="25" fillId="0" borderId="27" xfId="2" applyFont="1" applyBorder="1"/>
    <xf numFmtId="49" fontId="25" fillId="0" borderId="27" xfId="0" applyNumberFormat="1" applyFont="1" applyBorder="1"/>
    <xf numFmtId="49" fontId="25" fillId="0" borderId="27" xfId="0" applyNumberFormat="1" applyFont="1" applyBorder="1" applyAlignment="1">
      <alignment horizontal="center"/>
    </xf>
    <xf numFmtId="164" fontId="25" fillId="0" borderId="27" xfId="0" applyNumberFormat="1" applyFont="1" applyBorder="1"/>
    <xf numFmtId="49" fontId="25" fillId="0" borderId="26" xfId="0" applyNumberFormat="1" applyFont="1" applyBorder="1"/>
    <xf numFmtId="0" fontId="0" fillId="0" borderId="0" xfId="0" applyAlignment="1">
      <alignment horizontal="center" vertical="center"/>
    </xf>
    <xf numFmtId="43" fontId="25" fillId="16" borderId="3" xfId="2" applyFont="1" applyFill="1" applyBorder="1" applyAlignment="1">
      <alignment horizontal="center" vertical="center"/>
    </xf>
    <xf numFmtId="43" fontId="25" fillId="16" borderId="2" xfId="2" applyFont="1" applyFill="1" applyBorder="1" applyAlignment="1">
      <alignment horizontal="center" vertical="center"/>
    </xf>
    <xf numFmtId="49" fontId="25" fillId="16" borderId="2" xfId="0" applyNumberFormat="1" applyFont="1" applyFill="1" applyBorder="1" applyAlignment="1">
      <alignment horizontal="center" vertical="center"/>
    </xf>
    <xf numFmtId="49" fontId="25" fillId="16" borderId="22" xfId="0" applyNumberFormat="1" applyFont="1" applyFill="1" applyBorder="1" applyAlignment="1">
      <alignment horizontal="center" vertical="center"/>
    </xf>
    <xf numFmtId="43" fontId="76" fillId="0" borderId="0" xfId="2" applyFont="1" applyBorder="1" applyAlignment="1">
      <alignment vertical="center"/>
    </xf>
    <xf numFmtId="43" fontId="76" fillId="0" borderId="0" xfId="2" applyFont="1" applyBorder="1"/>
    <xf numFmtId="43" fontId="70" fillId="0" borderId="0" xfId="2" applyFont="1" applyBorder="1"/>
    <xf numFmtId="43" fontId="61" fillId="0" borderId="0" xfId="2" applyFont="1" applyBorder="1"/>
    <xf numFmtId="164" fontId="82" fillId="0" borderId="0" xfId="2" applyNumberFormat="1" applyFont="1" applyAlignment="1">
      <alignment horizontal="center" vertical="center"/>
    </xf>
    <xf numFmtId="164" fontId="82" fillId="0" borderId="0" xfId="2" applyNumberFormat="1" applyFont="1" applyAlignment="1">
      <alignment horizontal="center"/>
    </xf>
    <xf numFmtId="43" fontId="22" fillId="4" borderId="0" xfId="2" applyFont="1" applyFill="1" applyAlignment="1">
      <alignment vertical="center"/>
    </xf>
    <xf numFmtId="43" fontId="22" fillId="0" borderId="0" xfId="2" applyFont="1" applyAlignment="1">
      <alignment vertical="center"/>
    </xf>
    <xf numFmtId="43" fontId="78" fillId="0" borderId="0" xfId="2" applyFont="1" applyAlignment="1">
      <alignment vertical="center"/>
    </xf>
    <xf numFmtId="43" fontId="62" fillId="0" borderId="0" xfId="2" applyFont="1" applyBorder="1" applyAlignment="1">
      <alignment vertical="center"/>
    </xf>
    <xf numFmtId="0" fontId="22" fillId="0" borderId="0" xfId="0" applyFont="1" applyAlignment="1">
      <alignment vertical="center"/>
    </xf>
    <xf numFmtId="43" fontId="32" fillId="0" borderId="27" xfId="2" applyFont="1" applyBorder="1"/>
    <xf numFmtId="43" fontId="32" fillId="0" borderId="54" xfId="2" applyFont="1" applyBorder="1"/>
    <xf numFmtId="43" fontId="15" fillId="0" borderId="0" xfId="0" applyNumberFormat="1" applyFont="1"/>
    <xf numFmtId="0" fontId="18" fillId="4" borderId="0" xfId="0" applyFont="1" applyFill="1" applyAlignment="1">
      <alignment vertical="center"/>
    </xf>
    <xf numFmtId="14" fontId="18" fillId="4" borderId="0" xfId="0" applyNumberFormat="1" applyFont="1" applyFill="1" applyAlignment="1">
      <alignment horizontal="center" vertical="center"/>
    </xf>
    <xf numFmtId="43" fontId="18" fillId="4" borderId="3" xfId="2" applyFont="1" applyFill="1" applyBorder="1" applyAlignment="1">
      <alignment horizontal="center" vertical="center"/>
    </xf>
    <xf numFmtId="43" fontId="18" fillId="4" borderId="19" xfId="2" applyFont="1" applyFill="1" applyBorder="1" applyAlignment="1">
      <alignment vertical="center"/>
    </xf>
    <xf numFmtId="14" fontId="18" fillId="4" borderId="22" xfId="0" applyNumberFormat="1" applyFont="1" applyFill="1" applyBorder="1" applyAlignment="1">
      <alignment horizontal="left" vertical="center"/>
    </xf>
    <xf numFmtId="43" fontId="5" fillId="0" borderId="53" xfId="2" applyFont="1" applyBorder="1" applyAlignment="1">
      <alignment vertical="center"/>
    </xf>
    <xf numFmtId="43" fontId="5" fillId="0" borderId="54" xfId="2" applyFont="1" applyBorder="1"/>
    <xf numFmtId="0" fontId="5" fillId="0" borderId="55" xfId="0" applyFont="1" applyBorder="1" applyAlignment="1">
      <alignment horizontal="left" vertical="center"/>
    </xf>
    <xf numFmtId="43" fontId="5" fillId="0" borderId="56" xfId="2" applyFont="1" applyBorder="1" applyAlignment="1">
      <alignment vertical="center"/>
    </xf>
    <xf numFmtId="43" fontId="5" fillId="0" borderId="27" xfId="2" applyFont="1" applyBorder="1"/>
    <xf numFmtId="0" fontId="5" fillId="0" borderId="26" xfId="0" applyFont="1" applyBorder="1" applyAlignment="1">
      <alignment horizontal="left" vertical="center"/>
    </xf>
    <xf numFmtId="43" fontId="5" fillId="15" borderId="56" xfId="2" applyFont="1" applyFill="1" applyBorder="1" applyAlignment="1">
      <alignment vertical="center"/>
    </xf>
    <xf numFmtId="43" fontId="5" fillId="15" borderId="27" xfId="2" applyFont="1" applyFill="1" applyBorder="1"/>
    <xf numFmtId="0" fontId="5" fillId="15" borderId="26" xfId="0" applyFont="1" applyFill="1" applyBorder="1" applyAlignment="1">
      <alignment horizontal="left" vertical="center"/>
    </xf>
    <xf numFmtId="43" fontId="5" fillId="5" borderId="56" xfId="2" applyFont="1" applyFill="1" applyBorder="1" applyAlignment="1">
      <alignment vertical="center"/>
    </xf>
    <xf numFmtId="43" fontId="5" fillId="5" borderId="27" xfId="2" applyFont="1" applyFill="1" applyBorder="1"/>
    <xf numFmtId="0" fontId="5" fillId="5" borderId="26" xfId="0" applyFont="1" applyFill="1" applyBorder="1" applyAlignment="1">
      <alignment horizontal="left" vertical="center"/>
    </xf>
    <xf numFmtId="43" fontId="5" fillId="2" borderId="48" xfId="2" applyFont="1" applyFill="1" applyBorder="1" applyAlignment="1">
      <alignment vertical="center"/>
    </xf>
    <xf numFmtId="43" fontId="5" fillId="2" borderId="49" xfId="2" applyFont="1" applyFill="1" applyBorder="1"/>
    <xf numFmtId="0" fontId="5" fillId="2" borderId="57" xfId="0" applyFont="1" applyFill="1" applyBorder="1" applyAlignment="1">
      <alignment horizontal="left" vertical="center"/>
    </xf>
    <xf numFmtId="43" fontId="5" fillId="0" borderId="53" xfId="2" applyFont="1" applyFill="1" applyBorder="1" applyAlignment="1">
      <alignment horizontal="center" vertical="center"/>
    </xf>
    <xf numFmtId="43" fontId="16" fillId="0" borderId="54" xfId="2" applyFont="1" applyFill="1" applyBorder="1" applyAlignment="1">
      <alignment vertical="center"/>
    </xf>
    <xf numFmtId="14" fontId="5" fillId="0" borderId="55" xfId="0" applyNumberFormat="1" applyFont="1" applyBorder="1" applyAlignment="1">
      <alignment horizontal="left" vertical="center"/>
    </xf>
    <xf numFmtId="43" fontId="5" fillId="0" borderId="56" xfId="2" applyFont="1" applyFill="1" applyBorder="1" applyAlignment="1">
      <alignment horizontal="center" vertical="center"/>
    </xf>
    <xf numFmtId="43" fontId="16" fillId="0" borderId="27" xfId="2" applyFont="1" applyFill="1" applyBorder="1" applyAlignment="1">
      <alignment vertical="center"/>
    </xf>
    <xf numFmtId="14" fontId="5" fillId="0" borderId="26" xfId="0" applyNumberFormat="1" applyFont="1" applyBorder="1" applyAlignment="1">
      <alignment horizontal="left" vertical="center"/>
    </xf>
    <xf numFmtId="43" fontId="77" fillId="0" borderId="27" xfId="2" applyFont="1" applyFill="1" applyBorder="1" applyAlignment="1">
      <alignment vertical="center"/>
    </xf>
    <xf numFmtId="14" fontId="37" fillId="0" borderId="26" xfId="0" applyNumberFormat="1" applyFont="1" applyBorder="1" applyAlignment="1">
      <alignment horizontal="left" vertical="center"/>
    </xf>
    <xf numFmtId="43" fontId="4" fillId="0" borderId="48" xfId="2" applyFont="1" applyFill="1" applyBorder="1" applyAlignment="1">
      <alignment horizontal="center" vertical="center"/>
    </xf>
    <xf numFmtId="43" fontId="17" fillId="0" borderId="49" xfId="2" applyFont="1" applyFill="1" applyBorder="1" applyAlignment="1">
      <alignment vertical="center"/>
    </xf>
    <xf numFmtId="14" fontId="17" fillId="0" borderId="57" xfId="0" applyNumberFormat="1" applyFont="1" applyBorder="1" applyAlignment="1">
      <alignment horizontal="left" vertical="center"/>
    </xf>
    <xf numFmtId="43" fontId="23" fillId="3" borderId="3" xfId="2" applyFont="1" applyFill="1" applyBorder="1" applyAlignment="1">
      <alignment horizontal="center" vertical="center" wrapText="1"/>
    </xf>
    <xf numFmtId="0" fontId="5" fillId="15" borderId="37" xfId="0" applyFont="1" applyFill="1" applyBorder="1" applyAlignment="1">
      <alignment horizontal="left" vertical="center"/>
    </xf>
    <xf numFmtId="0" fontId="5" fillId="15" borderId="37" xfId="0" applyFont="1" applyFill="1" applyBorder="1"/>
    <xf numFmtId="0" fontId="5" fillId="0" borderId="35" xfId="0" applyFont="1" applyBorder="1" applyAlignment="1">
      <alignment horizontal="left" vertical="center"/>
    </xf>
    <xf numFmtId="0" fontId="5" fillId="0" borderId="35" xfId="0" applyFont="1" applyBorder="1"/>
    <xf numFmtId="43" fontId="18" fillId="4" borderId="2" xfId="2" applyFont="1" applyFill="1" applyBorder="1" applyAlignment="1">
      <alignment vertical="center"/>
    </xf>
    <xf numFmtId="43" fontId="5" fillId="17" borderId="56" xfId="2" applyFont="1" applyFill="1" applyBorder="1" applyAlignment="1">
      <alignment horizontal="center" vertical="center"/>
    </xf>
    <xf numFmtId="14" fontId="5" fillId="17" borderId="26" xfId="0" applyNumberFormat="1" applyFont="1" applyFill="1" applyBorder="1" applyAlignment="1">
      <alignment horizontal="left" vertical="center"/>
    </xf>
    <xf numFmtId="43" fontId="16" fillId="17" borderId="27" xfId="2" applyFont="1" applyFill="1" applyBorder="1" applyAlignment="1">
      <alignment vertical="center"/>
    </xf>
    <xf numFmtId="14" fontId="5" fillId="17" borderId="22" xfId="0" applyNumberFormat="1" applyFont="1" applyFill="1" applyBorder="1" applyAlignment="1">
      <alignment horizontal="left" vertical="center"/>
    </xf>
    <xf numFmtId="43" fontId="18" fillId="17" borderId="2" xfId="2" applyFont="1" applyFill="1" applyBorder="1" applyAlignment="1">
      <alignment vertical="center"/>
    </xf>
    <xf numFmtId="43" fontId="18" fillId="17" borderId="3" xfId="2" applyFont="1" applyFill="1" applyBorder="1" applyAlignment="1">
      <alignment horizontal="center" vertical="center"/>
    </xf>
    <xf numFmtId="49" fontId="57" fillId="0" borderId="0" xfId="2" applyNumberFormat="1" applyFont="1"/>
    <xf numFmtId="40" fontId="5" fillId="0" borderId="8" xfId="2" applyNumberFormat="1" applyFont="1" applyFill="1" applyBorder="1" applyAlignment="1">
      <alignment horizontal="center" vertical="center"/>
    </xf>
    <xf numFmtId="40" fontId="30" fillId="2" borderId="8" xfId="2" applyNumberFormat="1" applyFont="1" applyFill="1" applyBorder="1" applyAlignment="1">
      <alignment horizontal="center" vertical="center"/>
    </xf>
    <xf numFmtId="40" fontId="5" fillId="0" borderId="34" xfId="2" applyNumberFormat="1" applyFont="1" applyFill="1" applyBorder="1" applyAlignment="1">
      <alignment horizontal="center" vertical="center"/>
    </xf>
    <xf numFmtId="40" fontId="4" fillId="0" borderId="2" xfId="2" applyNumberFormat="1" applyFont="1" applyFill="1" applyBorder="1" applyAlignment="1">
      <alignment horizontal="center" vertical="center"/>
    </xf>
    <xf numFmtId="40" fontId="13" fillId="0" borderId="7" xfId="2" applyNumberFormat="1" applyFont="1" applyFill="1" applyBorder="1" applyAlignment="1">
      <alignment horizontal="center" vertical="center"/>
    </xf>
    <xf numFmtId="40" fontId="22" fillId="0" borderId="0" xfId="2" applyNumberFormat="1" applyFont="1"/>
    <xf numFmtId="40" fontId="30" fillId="0" borderId="8" xfId="2" applyNumberFormat="1" applyFont="1" applyFill="1" applyBorder="1" applyAlignment="1">
      <alignment horizontal="center" vertical="center"/>
    </xf>
    <xf numFmtId="40" fontId="5" fillId="0" borderId="9" xfId="2" applyNumberFormat="1" applyFont="1" applyFill="1" applyBorder="1" applyAlignment="1">
      <alignment horizontal="center" vertical="center"/>
    </xf>
    <xf numFmtId="40" fontId="4" fillId="0" borderId="4" xfId="2" applyNumberFormat="1" applyFont="1" applyFill="1" applyBorder="1" applyAlignment="1">
      <alignment horizontal="center" vertical="center"/>
    </xf>
    <xf numFmtId="40" fontId="5" fillId="0" borderId="0" xfId="0" applyNumberFormat="1" applyFont="1"/>
    <xf numFmtId="40" fontId="4" fillId="0" borderId="7" xfId="2" applyNumberFormat="1" applyFont="1" applyFill="1" applyBorder="1" applyAlignment="1">
      <alignment horizontal="center" vertical="center"/>
    </xf>
    <xf numFmtId="40" fontId="5" fillId="2" borderId="8" xfId="2" applyNumberFormat="1" applyFont="1" applyFill="1" applyBorder="1" applyAlignment="1">
      <alignment horizontal="center" vertical="center"/>
    </xf>
    <xf numFmtId="40" fontId="18" fillId="4" borderId="2" xfId="2" applyNumberFormat="1" applyFont="1" applyFill="1" applyBorder="1" applyAlignment="1">
      <alignment horizontal="center" vertical="center"/>
    </xf>
    <xf numFmtId="40" fontId="18" fillId="4" borderId="0" xfId="2" applyNumberFormat="1" applyFont="1" applyFill="1" applyBorder="1" applyAlignment="1">
      <alignment horizontal="center" vertical="center"/>
    </xf>
    <xf numFmtId="40" fontId="5" fillId="0" borderId="0" xfId="2" applyNumberFormat="1" applyFont="1" applyAlignment="1">
      <alignment horizontal="left" vertical="center"/>
    </xf>
    <xf numFmtId="40" fontId="20" fillId="4" borderId="0" xfId="0" applyNumberFormat="1" applyFont="1" applyFill="1"/>
    <xf numFmtId="40" fontId="5" fillId="2" borderId="7" xfId="2" applyNumberFormat="1" applyFont="1" applyFill="1" applyBorder="1" applyAlignment="1">
      <alignment vertical="center"/>
    </xf>
    <xf numFmtId="40" fontId="5" fillId="2" borderId="7" xfId="2" applyNumberFormat="1" applyFont="1" applyFill="1" applyBorder="1" applyAlignment="1">
      <alignment horizontal="center" vertical="center"/>
    </xf>
    <xf numFmtId="40" fontId="5" fillId="5" borderId="8" xfId="2" applyNumberFormat="1" applyFont="1" applyFill="1" applyBorder="1" applyAlignment="1">
      <alignment vertical="center"/>
    </xf>
    <xf numFmtId="40" fontId="5" fillId="5" borderId="8" xfId="2" applyNumberFormat="1" applyFont="1" applyFill="1" applyBorder="1" applyAlignment="1">
      <alignment horizontal="center" vertical="center"/>
    </xf>
    <xf numFmtId="40" fontId="5" fillId="15" borderId="37" xfId="2" applyNumberFormat="1" applyFont="1" applyFill="1" applyBorder="1" applyAlignment="1">
      <alignment vertical="center"/>
    </xf>
    <xf numFmtId="40" fontId="5" fillId="15" borderId="37" xfId="2" applyNumberFormat="1" applyFont="1" applyFill="1" applyBorder="1" applyAlignment="1">
      <alignment horizontal="center" vertical="center"/>
    </xf>
    <xf numFmtId="40" fontId="5" fillId="0" borderId="35" xfId="2" applyNumberFormat="1" applyFont="1" applyBorder="1" applyAlignment="1">
      <alignment vertical="center"/>
    </xf>
    <xf numFmtId="40" fontId="5" fillId="0" borderId="35" xfId="2" applyNumberFormat="1" applyFont="1" applyBorder="1" applyAlignment="1">
      <alignment horizontal="center" vertical="center"/>
    </xf>
    <xf numFmtId="40" fontId="5" fillId="0" borderId="8" xfId="2" applyNumberFormat="1" applyFont="1" applyBorder="1" applyAlignment="1">
      <alignment vertical="center"/>
    </xf>
    <xf numFmtId="40" fontId="5" fillId="0" borderId="8" xfId="2" applyNumberFormat="1" applyFont="1" applyBorder="1" applyAlignment="1">
      <alignment horizontal="center" vertical="center"/>
    </xf>
    <xf numFmtId="40" fontId="5" fillId="0" borderId="34" xfId="2" applyNumberFormat="1" applyFont="1" applyBorder="1" applyAlignment="1">
      <alignment vertical="center"/>
    </xf>
    <xf numFmtId="40" fontId="5" fillId="0" borderId="34" xfId="2" applyNumberFormat="1" applyFont="1" applyBorder="1" applyAlignment="1">
      <alignment horizontal="center" vertical="center"/>
    </xf>
    <xf numFmtId="40" fontId="76" fillId="0" borderId="2" xfId="2" applyNumberFormat="1" applyFont="1" applyBorder="1" applyAlignment="1">
      <alignment vertical="center"/>
    </xf>
    <xf numFmtId="40" fontId="76" fillId="0" borderId="2" xfId="2" applyNumberFormat="1" applyFont="1" applyBorder="1"/>
    <xf numFmtId="43" fontId="4" fillId="0" borderId="0" xfId="2" applyFont="1" applyAlignment="1">
      <alignment horizontal="center" vertical="center"/>
    </xf>
    <xf numFmtId="43" fontId="16" fillId="0" borderId="0" xfId="2" applyFont="1"/>
    <xf numFmtId="43" fontId="17" fillId="7" borderId="3" xfId="2" applyFont="1" applyFill="1" applyBorder="1" applyAlignment="1">
      <alignment horizontal="center" vertical="center"/>
    </xf>
    <xf numFmtId="43" fontId="17" fillId="7" borderId="2" xfId="2" applyFont="1" applyFill="1" applyBorder="1" applyAlignment="1">
      <alignment horizontal="center" vertical="center"/>
    </xf>
    <xf numFmtId="0" fontId="17" fillId="7" borderId="22" xfId="0" applyFont="1" applyFill="1" applyBorder="1" applyAlignment="1">
      <alignment vertical="center"/>
    </xf>
    <xf numFmtId="43" fontId="17" fillId="7" borderId="64" xfId="2" applyFont="1" applyFill="1" applyBorder="1" applyAlignment="1">
      <alignment horizontal="center" vertical="center"/>
    </xf>
    <xf numFmtId="43" fontId="17" fillId="7" borderId="65" xfId="2" applyFont="1" applyFill="1" applyBorder="1" applyAlignment="1">
      <alignment horizontal="center" vertical="center"/>
    </xf>
    <xf numFmtId="43" fontId="4" fillId="4" borderId="53" xfId="2" applyFont="1" applyFill="1" applyBorder="1" applyAlignment="1">
      <alignment horizontal="center" vertical="center"/>
    </xf>
    <xf numFmtId="43" fontId="5" fillId="4" borderId="54" xfId="2" applyFont="1" applyFill="1" applyBorder="1"/>
    <xf numFmtId="43" fontId="5" fillId="4" borderId="54" xfId="2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vertical="center"/>
    </xf>
    <xf numFmtId="43" fontId="4" fillId="4" borderId="56" xfId="2" applyFont="1" applyFill="1" applyBorder="1" applyAlignment="1">
      <alignment horizontal="center" vertical="center"/>
    </xf>
    <xf numFmtId="43" fontId="5" fillId="4" borderId="27" xfId="2" applyFont="1" applyFill="1" applyBorder="1"/>
    <xf numFmtId="43" fontId="5" fillId="4" borderId="27" xfId="2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vertical="center"/>
    </xf>
    <xf numFmtId="43" fontId="4" fillId="4" borderId="48" xfId="2" applyFont="1" applyFill="1" applyBorder="1" applyAlignment="1">
      <alignment horizontal="center" vertical="center"/>
    </xf>
    <xf numFmtId="43" fontId="5" fillId="4" borderId="49" xfId="2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vertical="center"/>
    </xf>
    <xf numFmtId="0" fontId="76" fillId="4" borderId="0" xfId="0" applyFont="1" applyFill="1"/>
    <xf numFmtId="40" fontId="17" fillId="0" borderId="3" xfId="2" applyNumberFormat="1" applyFont="1" applyFill="1" applyBorder="1" applyAlignment="1">
      <alignment horizontal="center" vertical="center"/>
    </xf>
    <xf numFmtId="40" fontId="17" fillId="0" borderId="2" xfId="2" applyNumberFormat="1" applyFont="1" applyFill="1" applyBorder="1" applyAlignment="1">
      <alignment horizontal="center" vertical="center"/>
    </xf>
    <xf numFmtId="0" fontId="17" fillId="0" borderId="22" xfId="0" applyFont="1" applyBorder="1" applyAlignment="1">
      <alignment vertical="center"/>
    </xf>
    <xf numFmtId="40" fontId="4" fillId="0" borderId="56" xfId="2" applyNumberFormat="1" applyFont="1" applyFill="1" applyBorder="1" applyAlignment="1">
      <alignment horizontal="center" vertical="center"/>
    </xf>
    <xf numFmtId="40" fontId="5" fillId="0" borderId="27" xfId="2" applyNumberFormat="1" applyFont="1" applyFill="1" applyBorder="1" applyAlignment="1">
      <alignment horizontal="center" vertical="center"/>
    </xf>
    <xf numFmtId="0" fontId="77" fillId="0" borderId="26" xfId="0" applyFont="1" applyBorder="1" applyAlignment="1">
      <alignment vertical="center"/>
    </xf>
    <xf numFmtId="40" fontId="4" fillId="0" borderId="48" xfId="2" applyNumberFormat="1" applyFont="1" applyFill="1" applyBorder="1" applyAlignment="1">
      <alignment horizontal="center" vertical="center"/>
    </xf>
    <xf numFmtId="40" fontId="5" fillId="0" borderId="49" xfId="2" applyNumberFormat="1" applyFont="1" applyFill="1" applyBorder="1" applyAlignment="1">
      <alignment horizontal="center" vertical="center"/>
    </xf>
    <xf numFmtId="0" fontId="14" fillId="0" borderId="57" xfId="0" applyFont="1" applyBorder="1" applyAlignment="1">
      <alignment vertical="center"/>
    </xf>
    <xf numFmtId="49" fontId="16" fillId="4" borderId="55" xfId="0" applyNumberFormat="1" applyFont="1" applyFill="1" applyBorder="1" applyAlignment="1">
      <alignment vertical="center"/>
    </xf>
    <xf numFmtId="40" fontId="5" fillId="4" borderId="54" xfId="2" applyNumberFormat="1" applyFont="1" applyFill="1" applyBorder="1" applyAlignment="1">
      <alignment horizontal="center" vertical="center"/>
    </xf>
    <xf numFmtId="40" fontId="5" fillId="4" borderId="54" xfId="0" applyNumberFormat="1" applyFont="1" applyFill="1" applyBorder="1"/>
    <xf numFmtId="40" fontId="4" fillId="4" borderId="53" xfId="0" applyNumberFormat="1" applyFont="1" applyFill="1" applyBorder="1"/>
    <xf numFmtId="49" fontId="85" fillId="4" borderId="0" xfId="0" applyNumberFormat="1" applyFont="1" applyFill="1" applyAlignment="1">
      <alignment vertical="center"/>
    </xf>
    <xf numFmtId="40" fontId="76" fillId="4" borderId="0" xfId="2" applyNumberFormat="1" applyFont="1" applyFill="1" applyBorder="1" applyAlignment="1">
      <alignment horizontal="center" vertical="center"/>
    </xf>
    <xf numFmtId="40" fontId="4" fillId="4" borderId="0" xfId="2" applyNumberFormat="1" applyFont="1" applyFill="1" applyBorder="1" applyAlignment="1">
      <alignment horizontal="center" vertical="center"/>
    </xf>
    <xf numFmtId="4" fontId="39" fillId="0" borderId="0" xfId="0" applyNumberFormat="1" applyFont="1"/>
    <xf numFmtId="0" fontId="86" fillId="0" borderId="0" xfId="0" applyFont="1"/>
    <xf numFmtId="166" fontId="0" fillId="0" borderId="27" xfId="0" applyNumberFormat="1" applyBorder="1"/>
    <xf numFmtId="14" fontId="0" fillId="0" borderId="27" xfId="0" applyNumberFormat="1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wrapText="1"/>
    </xf>
    <xf numFmtId="0" fontId="5" fillId="4" borderId="28" xfId="0" applyFont="1" applyFill="1" applyBorder="1" applyAlignment="1">
      <alignment vertical="center"/>
    </xf>
    <xf numFmtId="43" fontId="5" fillId="4" borderId="29" xfId="2" applyFont="1" applyFill="1" applyBorder="1" applyAlignment="1">
      <alignment horizontal="center" vertical="center"/>
    </xf>
    <xf numFmtId="43" fontId="4" fillId="4" borderId="44" xfId="2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40" fontId="17" fillId="0" borderId="0" xfId="2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3" fontId="88" fillId="4" borderId="0" xfId="2" applyFont="1" applyFill="1" applyAlignment="1">
      <alignment vertical="center"/>
    </xf>
    <xf numFmtId="43" fontId="88" fillId="4" borderId="0" xfId="2" applyFont="1" applyFill="1"/>
    <xf numFmtId="49" fontId="31" fillId="4" borderId="57" xfId="0" applyNumberFormat="1" applyFont="1" applyFill="1" applyBorder="1" applyAlignment="1">
      <alignment vertical="center"/>
    </xf>
    <xf numFmtId="49" fontId="16" fillId="4" borderId="30" xfId="0" applyNumberFormat="1" applyFont="1" applyFill="1" applyBorder="1" applyAlignment="1">
      <alignment vertical="center"/>
    </xf>
    <xf numFmtId="40" fontId="5" fillId="4" borderId="31" xfId="2" applyNumberFormat="1" applyFont="1" applyFill="1" applyBorder="1" applyAlignment="1">
      <alignment horizontal="center" vertical="center"/>
    </xf>
    <xf numFmtId="40" fontId="5" fillId="4" borderId="31" xfId="0" applyNumberFormat="1" applyFont="1" applyFill="1" applyBorder="1"/>
    <xf numFmtId="40" fontId="4" fillId="4" borderId="68" xfId="0" applyNumberFormat="1" applyFont="1" applyFill="1" applyBorder="1"/>
    <xf numFmtId="49" fontId="17" fillId="0" borderId="22" xfId="0" applyNumberFormat="1" applyFont="1" applyBorder="1" applyAlignment="1">
      <alignment vertical="center"/>
    </xf>
    <xf numFmtId="40" fontId="4" fillId="0" borderId="3" xfId="2" applyNumberFormat="1" applyFont="1" applyFill="1" applyBorder="1" applyAlignment="1">
      <alignment horizontal="center" vertical="center"/>
    </xf>
    <xf numFmtId="43" fontId="30" fillId="4" borderId="49" xfId="2" applyFont="1" applyFill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3" fontId="17" fillId="0" borderId="0" xfId="2" applyFont="1" applyAlignment="1">
      <alignment horizontal="left" vertical="center"/>
    </xf>
    <xf numFmtId="49" fontId="16" fillId="0" borderId="69" xfId="0" applyNumberFormat="1" applyFont="1" applyBorder="1" applyAlignment="1">
      <alignment vertical="center"/>
    </xf>
    <xf numFmtId="40" fontId="5" fillId="0" borderId="10" xfId="2" applyNumberFormat="1" applyFont="1" applyFill="1" applyBorder="1" applyAlignment="1">
      <alignment horizontal="center" vertical="center"/>
    </xf>
    <xf numFmtId="40" fontId="4" fillId="0" borderId="70" xfId="2" applyNumberFormat="1" applyFont="1" applyFill="1" applyBorder="1" applyAlignment="1">
      <alignment horizontal="center" vertical="center"/>
    </xf>
    <xf numFmtId="49" fontId="85" fillId="4" borderId="22" xfId="0" applyNumberFormat="1" applyFont="1" applyFill="1" applyBorder="1" applyAlignment="1">
      <alignment vertical="center"/>
    </xf>
    <xf numFmtId="40" fontId="76" fillId="4" borderId="2" xfId="2" applyNumberFormat="1" applyFont="1" applyFill="1" applyBorder="1" applyAlignment="1">
      <alignment horizontal="center" vertical="center"/>
    </xf>
    <xf numFmtId="40" fontId="76" fillId="4" borderId="3" xfId="2" applyNumberFormat="1" applyFont="1" applyFill="1" applyBorder="1" applyAlignment="1">
      <alignment horizontal="center" vertical="center"/>
    </xf>
    <xf numFmtId="43" fontId="31" fillId="0" borderId="0" xfId="0" applyNumberFormat="1" applyFont="1"/>
    <xf numFmtId="43" fontId="31" fillId="0" borderId="0" xfId="2" applyFont="1"/>
    <xf numFmtId="0" fontId="31" fillId="0" borderId="0" xfId="0" applyFont="1"/>
    <xf numFmtId="43" fontId="85" fillId="4" borderId="0" xfId="2" applyFont="1" applyFill="1"/>
    <xf numFmtId="0" fontId="85" fillId="4" borderId="0" xfId="0" applyFont="1" applyFill="1"/>
    <xf numFmtId="0" fontId="16" fillId="4" borderId="0" xfId="0" applyFont="1" applyFill="1"/>
    <xf numFmtId="43" fontId="31" fillId="4" borderId="0" xfId="2" applyFont="1" applyFill="1"/>
    <xf numFmtId="0" fontId="4" fillId="7" borderId="66" xfId="0" applyFont="1" applyFill="1" applyBorder="1" applyAlignment="1">
      <alignment vertical="center"/>
    </xf>
    <xf numFmtId="0" fontId="4" fillId="7" borderId="22" xfId="0" applyFont="1" applyFill="1" applyBorder="1" applyAlignment="1">
      <alignment vertical="center"/>
    </xf>
    <xf numFmtId="14" fontId="5" fillId="0" borderId="0" xfId="2" applyNumberFormat="1" applyFont="1" applyAlignment="1">
      <alignment horizontal="center" vertical="center"/>
    </xf>
    <xf numFmtId="0" fontId="5" fillId="0" borderId="57" xfId="0" applyFont="1" applyBorder="1" applyAlignment="1">
      <alignment horizontal="left" vertical="center"/>
    </xf>
    <xf numFmtId="43" fontId="5" fillId="0" borderId="49" xfId="2" applyFont="1" applyBorder="1" applyAlignment="1">
      <alignment horizontal="center" vertical="center"/>
    </xf>
    <xf numFmtId="14" fontId="5" fillId="0" borderId="49" xfId="2" applyNumberFormat="1" applyFont="1" applyBorder="1" applyAlignment="1">
      <alignment horizontal="center" vertical="center"/>
    </xf>
    <xf numFmtId="49" fontId="5" fillId="0" borderId="49" xfId="2" applyNumberFormat="1" applyFont="1" applyBorder="1" applyAlignment="1">
      <alignment horizontal="center" vertical="center"/>
    </xf>
    <xf numFmtId="43" fontId="5" fillId="0" borderId="27" xfId="2" applyFont="1" applyBorder="1" applyAlignment="1">
      <alignment horizontal="center" vertical="center"/>
    </xf>
    <xf numFmtId="14" fontId="5" fillId="0" borderId="27" xfId="2" applyNumberFormat="1" applyFont="1" applyBorder="1" applyAlignment="1">
      <alignment horizontal="center" vertical="center"/>
    </xf>
    <xf numFmtId="49" fontId="5" fillId="0" borderId="27" xfId="2" applyNumberFormat="1" applyFont="1" applyBorder="1" applyAlignment="1">
      <alignment horizontal="center" vertical="center"/>
    </xf>
    <xf numFmtId="164" fontId="5" fillId="0" borderId="27" xfId="2" applyNumberFormat="1" applyFont="1" applyBorder="1" applyAlignment="1">
      <alignment horizontal="center" vertical="center"/>
    </xf>
    <xf numFmtId="164" fontId="5" fillId="0" borderId="54" xfId="2" applyNumberFormat="1" applyFont="1" applyBorder="1" applyAlignment="1">
      <alignment horizontal="center" vertical="center"/>
    </xf>
    <xf numFmtId="14" fontId="5" fillId="0" borderId="54" xfId="2" applyNumberFormat="1" applyFont="1" applyBorder="1" applyAlignment="1">
      <alignment horizontal="center" vertical="center"/>
    </xf>
    <xf numFmtId="49" fontId="5" fillId="0" borderId="54" xfId="2" applyNumberFormat="1" applyFont="1" applyBorder="1" applyAlignment="1">
      <alignment horizontal="center" vertical="center"/>
    </xf>
    <xf numFmtId="49" fontId="16" fillId="0" borderId="0" xfId="2" applyNumberFormat="1" applyFont="1"/>
    <xf numFmtId="0" fontId="16" fillId="0" borderId="0" xfId="0" applyFont="1" applyAlignment="1">
      <alignment horizontal="left" vertical="center"/>
    </xf>
    <xf numFmtId="164" fontId="16" fillId="0" borderId="0" xfId="2" applyNumberFormat="1" applyFont="1" applyAlignment="1">
      <alignment horizontal="center" vertical="center"/>
    </xf>
    <xf numFmtId="14" fontId="16" fillId="0" borderId="0" xfId="2" applyNumberFormat="1" applyFont="1" applyAlignment="1">
      <alignment horizontal="center" vertical="center"/>
    </xf>
    <xf numFmtId="49" fontId="16" fillId="0" borderId="0" xfId="2" applyNumberFormat="1" applyFont="1" applyAlignment="1">
      <alignment horizontal="center" vertical="center"/>
    </xf>
    <xf numFmtId="43" fontId="16" fillId="0" borderId="0" xfId="2" applyFont="1" applyAlignment="1">
      <alignment vertical="center"/>
    </xf>
    <xf numFmtId="0" fontId="20" fillId="0" borderId="0" xfId="0" applyFont="1" applyAlignment="1">
      <alignment horizontal="center" vertical="center"/>
    </xf>
    <xf numFmtId="43" fontId="16" fillId="0" borderId="48" xfId="2" applyFont="1" applyBorder="1"/>
    <xf numFmtId="43" fontId="16" fillId="0" borderId="56" xfId="2" applyFont="1" applyBorder="1"/>
    <xf numFmtId="43" fontId="16" fillId="0" borderId="53" xfId="2" applyFont="1" applyBorder="1"/>
    <xf numFmtId="43" fontId="17" fillId="0" borderId="71" xfId="2" applyFont="1" applyBorder="1" applyAlignment="1">
      <alignment vertical="center"/>
    </xf>
    <xf numFmtId="4" fontId="7" fillId="0" borderId="0" xfId="0" applyNumberFormat="1" applyFont="1" applyAlignment="1">
      <alignment horizontal="center" vertical="center"/>
    </xf>
    <xf numFmtId="43" fontId="17" fillId="0" borderId="0" xfId="2" applyFont="1" applyAlignment="1">
      <alignment horizontal="left" vertical="center"/>
    </xf>
    <xf numFmtId="43" fontId="90" fillId="0" borderId="0" xfId="2" applyFont="1" applyAlignment="1">
      <alignment vertical="center"/>
    </xf>
    <xf numFmtId="43" fontId="91" fillId="4" borderId="0" xfId="2" applyFont="1" applyFill="1" applyBorder="1" applyAlignment="1">
      <alignment horizontal="center" vertical="center"/>
    </xf>
    <xf numFmtId="43" fontId="45" fillId="0" borderId="0" xfId="2" applyFont="1"/>
    <xf numFmtId="43" fontId="92" fillId="0" borderId="0" xfId="2" applyFont="1"/>
    <xf numFmtId="43" fontId="45" fillId="4" borderId="0" xfId="2" applyFont="1" applyFill="1"/>
    <xf numFmtId="0" fontId="45" fillId="0" borderId="0" xfId="0" applyFont="1" applyAlignment="1">
      <alignment horizontal="center" vertical="center"/>
    </xf>
    <xf numFmtId="0" fontId="45" fillId="0" borderId="0" xfId="0" applyFont="1"/>
    <xf numFmtId="0" fontId="65" fillId="0" borderId="0" xfId="0" applyFont="1" applyAlignment="1">
      <alignment horizontal="center" vertical="center"/>
    </xf>
    <xf numFmtId="43" fontId="46" fillId="4" borderId="0" xfId="2" applyFont="1" applyFill="1"/>
    <xf numFmtId="43" fontId="92" fillId="4" borderId="0" xfId="2" applyFont="1" applyFill="1"/>
    <xf numFmtId="43" fontId="72" fillId="0" borderId="0" xfId="2" applyFont="1"/>
    <xf numFmtId="43" fontId="15" fillId="0" borderId="0" xfId="2" applyFont="1" applyAlignment="1">
      <alignment vertical="center"/>
    </xf>
    <xf numFmtId="43" fontId="93" fillId="4" borderId="0" xfId="2" applyFont="1" applyFill="1"/>
    <xf numFmtId="43" fontId="71" fillId="4" borderId="0" xfId="2" applyFont="1" applyFill="1" applyBorder="1" applyAlignment="1">
      <alignment horizontal="center" vertical="center"/>
    </xf>
    <xf numFmtId="43" fontId="72" fillId="0" borderId="0" xfId="2" applyFont="1" applyAlignment="1">
      <alignment horizontal="center" vertical="center"/>
    </xf>
    <xf numFmtId="49" fontId="31" fillId="18" borderId="55" xfId="0" applyNumberFormat="1" applyFont="1" applyFill="1" applyBorder="1" applyAlignment="1">
      <alignment vertical="center"/>
    </xf>
    <xf numFmtId="43" fontId="30" fillId="18" borderId="54" xfId="2" applyFont="1" applyFill="1" applyBorder="1" applyAlignment="1">
      <alignment horizontal="center" vertical="center"/>
    </xf>
    <xf numFmtId="43" fontId="4" fillId="18" borderId="53" xfId="2" applyFont="1" applyFill="1" applyBorder="1" applyAlignment="1">
      <alignment horizontal="center" vertical="center"/>
    </xf>
    <xf numFmtId="49" fontId="31" fillId="18" borderId="28" xfId="0" applyNumberFormat="1" applyFont="1" applyFill="1" applyBorder="1" applyAlignment="1">
      <alignment vertical="center"/>
    </xf>
    <xf numFmtId="40" fontId="30" fillId="18" borderId="29" xfId="2" applyNumberFormat="1" applyFont="1" applyFill="1" applyBorder="1" applyAlignment="1">
      <alignment horizontal="center" vertical="center"/>
    </xf>
    <xf numFmtId="43" fontId="30" fillId="18" borderId="29" xfId="2" applyFont="1" applyFill="1" applyBorder="1" applyAlignment="1">
      <alignment horizontal="center" vertical="center"/>
    </xf>
    <xf numFmtId="40" fontId="76" fillId="18" borderId="44" xfId="2" applyNumberFormat="1" applyFont="1" applyFill="1" applyBorder="1" applyAlignment="1">
      <alignment horizontal="center" vertical="center"/>
    </xf>
    <xf numFmtId="40" fontId="4" fillId="4" borderId="64" xfId="0" applyNumberFormat="1" applyFont="1" applyFill="1" applyBorder="1"/>
    <xf numFmtId="49" fontId="17" fillId="4" borderId="55" xfId="0" applyNumberFormat="1" applyFont="1" applyFill="1" applyBorder="1" applyAlignment="1">
      <alignment vertical="center"/>
    </xf>
    <xf numFmtId="40" fontId="4" fillId="4" borderId="65" xfId="2" applyNumberFormat="1" applyFont="1" applyFill="1" applyBorder="1" applyAlignment="1">
      <alignment horizontal="center" vertical="center"/>
    </xf>
    <xf numFmtId="40" fontId="4" fillId="4" borderId="65" xfId="0" applyNumberFormat="1" applyFont="1" applyFill="1" applyBorder="1"/>
    <xf numFmtId="0" fontId="17" fillId="4" borderId="0" xfId="0" applyFont="1" applyFill="1"/>
    <xf numFmtId="43" fontId="70" fillId="4" borderId="0" xfId="2" applyFont="1" applyFill="1"/>
    <xf numFmtId="0" fontId="4" fillId="4" borderId="0" xfId="0" applyFont="1" applyFill="1"/>
    <xf numFmtId="49" fontId="31" fillId="18" borderId="57" xfId="0" applyNumberFormat="1" applyFont="1" applyFill="1" applyBorder="1" applyAlignment="1">
      <alignment vertical="center"/>
    </xf>
    <xf numFmtId="43" fontId="30" fillId="18" borderId="49" xfId="2" applyFont="1" applyFill="1" applyBorder="1" applyAlignment="1">
      <alignment horizontal="center" vertical="center"/>
    </xf>
    <xf numFmtId="43" fontId="4" fillId="18" borderId="48" xfId="2" applyFont="1" applyFill="1" applyBorder="1" applyAlignment="1">
      <alignment horizontal="center" vertical="center"/>
    </xf>
    <xf numFmtId="49" fontId="31" fillId="4" borderId="55" xfId="0" applyNumberFormat="1" applyFont="1" applyFill="1" applyBorder="1" applyAlignment="1">
      <alignment vertical="center"/>
    </xf>
    <xf numFmtId="43" fontId="30" fillId="4" borderId="54" xfId="2" applyFont="1" applyFill="1" applyBorder="1" applyAlignment="1">
      <alignment horizontal="center" vertical="center"/>
    </xf>
    <xf numFmtId="0" fontId="94" fillId="0" borderId="26" xfId="0" applyFont="1" applyBorder="1" applyAlignment="1">
      <alignment vertical="center"/>
    </xf>
    <xf numFmtId="40" fontId="4" fillId="0" borderId="27" xfId="2" applyNumberFormat="1" applyFont="1" applyFill="1" applyBorder="1" applyAlignment="1">
      <alignment horizontal="center" vertical="center"/>
    </xf>
    <xf numFmtId="43" fontId="46" fillId="0" borderId="0" xfId="2" applyFont="1"/>
    <xf numFmtId="49" fontId="33" fillId="0" borderId="0" xfId="2" applyNumberFormat="1" applyFont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14" fontId="0" fillId="0" borderId="27" xfId="0" applyNumberFormat="1" applyBorder="1" applyAlignment="1">
      <alignment vertical="center"/>
    </xf>
    <xf numFmtId="166" fontId="0" fillId="0" borderId="27" xfId="0" applyNumberFormat="1" applyBorder="1" applyAlignment="1">
      <alignment vertical="center"/>
    </xf>
    <xf numFmtId="43" fontId="17" fillId="19" borderId="0" xfId="2" applyNumberFormat="1" applyFont="1" applyFill="1" applyBorder="1" applyAlignment="1">
      <alignment horizontal="center" vertical="center"/>
    </xf>
    <xf numFmtId="166" fontId="0" fillId="0" borderId="27" xfId="0" applyNumberFormat="1" applyFill="1" applyBorder="1"/>
    <xf numFmtId="166" fontId="0" fillId="0" borderId="27" xfId="0" applyNumberFormat="1" applyFill="1" applyBorder="1" applyAlignment="1">
      <alignment vertical="center"/>
    </xf>
    <xf numFmtId="43" fontId="16" fillId="19" borderId="56" xfId="2" applyFont="1" applyFill="1" applyBorder="1"/>
    <xf numFmtId="0" fontId="5" fillId="19" borderId="26" xfId="0" applyFont="1" applyFill="1" applyBorder="1" applyAlignment="1">
      <alignment horizontal="left" vertical="center"/>
    </xf>
    <xf numFmtId="164" fontId="5" fillId="19" borderId="27" xfId="2" applyNumberFormat="1" applyFont="1" applyFill="1" applyBorder="1" applyAlignment="1">
      <alignment horizontal="center" vertical="center"/>
    </xf>
    <xf numFmtId="14" fontId="5" fillId="19" borderId="27" xfId="2" applyNumberFormat="1" applyFont="1" applyFill="1" applyBorder="1" applyAlignment="1">
      <alignment horizontal="center" vertical="center"/>
    </xf>
    <xf numFmtId="49" fontId="5" fillId="19" borderId="27" xfId="2" applyNumberFormat="1" applyFont="1" applyFill="1" applyBorder="1" applyAlignment="1">
      <alignment horizontal="center" vertical="center"/>
    </xf>
    <xf numFmtId="4" fontId="39" fillId="19" borderId="0" xfId="0" applyNumberFormat="1" applyFont="1" applyFill="1"/>
    <xf numFmtId="4" fontId="7" fillId="0" borderId="0" xfId="0" applyNumberFormat="1" applyFont="1" applyAlignment="1">
      <alignment horizontal="center" vertical="center"/>
    </xf>
    <xf numFmtId="43" fontId="17" fillId="0" borderId="0" xfId="2" applyFont="1" applyAlignment="1">
      <alignment horizontal="left" vertical="center"/>
    </xf>
    <xf numFmtId="40" fontId="5" fillId="0" borderId="48" xfId="2" applyNumberFormat="1" applyFont="1" applyFill="1" applyBorder="1" applyAlignment="1">
      <alignment horizontal="center" vertical="center"/>
    </xf>
    <xf numFmtId="40" fontId="5" fillId="0" borderId="56" xfId="2" applyNumberFormat="1" applyFont="1" applyFill="1" applyBorder="1" applyAlignment="1">
      <alignment horizontal="center" vertical="center"/>
    </xf>
    <xf numFmtId="40" fontId="30" fillId="18" borderId="44" xfId="2" applyNumberFormat="1" applyFont="1" applyFill="1" applyBorder="1" applyAlignment="1">
      <alignment horizontal="center" vertical="center"/>
    </xf>
    <xf numFmtId="40" fontId="5" fillId="0" borderId="70" xfId="2" applyNumberFormat="1" applyFont="1" applyFill="1" applyBorder="1" applyAlignment="1">
      <alignment horizontal="center" vertical="center"/>
    </xf>
    <xf numFmtId="40" fontId="5" fillId="4" borderId="68" xfId="2" applyNumberFormat="1" applyFont="1" applyFill="1" applyBorder="1" applyAlignment="1">
      <alignment horizontal="center" vertical="center"/>
    </xf>
    <xf numFmtId="40" fontId="5" fillId="4" borderId="53" xfId="2" applyNumberFormat="1" applyFont="1" applyFill="1" applyBorder="1" applyAlignment="1">
      <alignment horizontal="center" vertical="center"/>
    </xf>
    <xf numFmtId="40" fontId="4" fillId="4" borderId="64" xfId="2" applyNumberFormat="1" applyFont="1" applyFill="1" applyBorder="1" applyAlignment="1">
      <alignment horizontal="center" vertical="center"/>
    </xf>
    <xf numFmtId="43" fontId="5" fillId="4" borderId="48" xfId="2" applyFont="1" applyFill="1" applyBorder="1" applyAlignment="1">
      <alignment horizontal="center" vertical="center"/>
    </xf>
    <xf numFmtId="43" fontId="5" fillId="4" borderId="56" xfId="2" applyFont="1" applyFill="1" applyBorder="1"/>
    <xf numFmtId="43" fontId="5" fillId="4" borderId="56" xfId="2" applyFont="1" applyFill="1" applyBorder="1" applyAlignment="1">
      <alignment horizontal="center" vertical="center"/>
    </xf>
    <xf numFmtId="43" fontId="5" fillId="4" borderId="44" xfId="2" applyFont="1" applyFill="1" applyBorder="1" applyAlignment="1">
      <alignment horizontal="center" vertical="center"/>
    </xf>
    <xf numFmtId="40" fontId="6" fillId="19" borderId="3" xfId="2" applyNumberFormat="1" applyFont="1" applyFill="1" applyBorder="1" applyAlignment="1">
      <alignment horizontal="center" vertical="center"/>
    </xf>
    <xf numFmtId="0" fontId="0" fillId="19" borderId="27" xfId="0" applyFill="1" applyBorder="1" applyAlignment="1">
      <alignment horizontal="center"/>
    </xf>
    <xf numFmtId="0" fontId="0" fillId="19" borderId="27" xfId="0" applyFill="1" applyBorder="1"/>
    <xf numFmtId="14" fontId="0" fillId="19" borderId="27" xfId="0" applyNumberFormat="1" applyFill="1" applyBorder="1"/>
    <xf numFmtId="166" fontId="0" fillId="19" borderId="27" xfId="0" applyNumberFormat="1" applyFill="1" applyBorder="1"/>
    <xf numFmtId="0" fontId="98" fillId="0" borderId="0" xfId="0" applyFont="1" applyFill="1" applyBorder="1" applyAlignment="1">
      <alignment horizontal="left" vertical="top"/>
    </xf>
    <xf numFmtId="0" fontId="96" fillId="0" borderId="27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center" vertical="center"/>
    </xf>
    <xf numFmtId="0" fontId="105" fillId="0" borderId="0" xfId="0" applyFont="1" applyFill="1" applyBorder="1" applyAlignment="1">
      <alignment horizontal="left" vertical="top"/>
    </xf>
    <xf numFmtId="1" fontId="100" fillId="0" borderId="27" xfId="0" applyNumberFormat="1" applyFont="1" applyFill="1" applyBorder="1" applyAlignment="1">
      <alignment horizontal="center" vertical="center" wrapText="1" shrinkToFit="1"/>
    </xf>
    <xf numFmtId="0" fontId="101" fillId="0" borderId="27" xfId="0" applyFont="1" applyFill="1" applyBorder="1" applyAlignment="1">
      <alignment horizontal="center" vertical="center" wrapText="1"/>
    </xf>
    <xf numFmtId="0" fontId="102" fillId="0" borderId="27" xfId="0" applyFont="1" applyFill="1" applyBorder="1" applyAlignment="1">
      <alignment horizontal="center" vertical="center" wrapText="1"/>
    </xf>
    <xf numFmtId="4" fontId="103" fillId="0" borderId="27" xfId="0" applyNumberFormat="1" applyFont="1" applyFill="1" applyBorder="1" applyAlignment="1">
      <alignment horizontal="center" vertical="center" wrapText="1" shrinkToFit="1"/>
    </xf>
    <xf numFmtId="0" fontId="85" fillId="0" borderId="27" xfId="0" applyFont="1" applyFill="1" applyBorder="1" applyAlignment="1">
      <alignment horizontal="center" vertical="center" wrapText="1"/>
    </xf>
    <xf numFmtId="1" fontId="95" fillId="0" borderId="27" xfId="0" applyNumberFormat="1" applyFont="1" applyFill="1" applyBorder="1" applyAlignment="1">
      <alignment horizontal="center" vertical="center" shrinkToFit="1"/>
    </xf>
    <xf numFmtId="0" fontId="97" fillId="0" borderId="27" xfId="0" applyFont="1" applyFill="1" applyBorder="1" applyAlignment="1">
      <alignment horizontal="left" vertical="center" wrapText="1"/>
    </xf>
    <xf numFmtId="43" fontId="30" fillId="19" borderId="27" xfId="2" applyNumberFormat="1" applyFont="1" applyFill="1" applyBorder="1" applyAlignment="1">
      <alignment horizontal="right" vertical="center" wrapText="1"/>
    </xf>
    <xf numFmtId="0" fontId="30" fillId="0" borderId="27" xfId="0" applyFont="1" applyFill="1" applyBorder="1" applyAlignment="1">
      <alignment horizontal="center" vertical="center" wrapText="1"/>
    </xf>
    <xf numFmtId="43" fontId="99" fillId="19" borderId="27" xfId="2" applyNumberFormat="1" applyFont="1" applyFill="1" applyBorder="1" applyAlignment="1">
      <alignment horizontal="right" vertical="center" shrinkToFit="1"/>
    </xf>
    <xf numFmtId="43" fontId="85" fillId="19" borderId="27" xfId="2" applyNumberFormat="1" applyFont="1" applyFill="1" applyBorder="1" applyAlignment="1">
      <alignment horizontal="right" vertical="center" wrapText="1"/>
    </xf>
    <xf numFmtId="166" fontId="107" fillId="19" borderId="27" xfId="0" applyNumberFormat="1" applyFont="1" applyFill="1" applyBorder="1" applyAlignment="1">
      <alignment horizontal="center" vertical="center"/>
    </xf>
    <xf numFmtId="43" fontId="76" fillId="21" borderId="27" xfId="2" applyNumberFormat="1" applyFont="1" applyFill="1" applyBorder="1" applyAlignment="1">
      <alignment horizontal="right" vertical="center" wrapText="1"/>
    </xf>
    <xf numFmtId="43" fontId="108" fillId="21" borderId="27" xfId="2" applyNumberFormat="1" applyFont="1" applyFill="1" applyBorder="1" applyAlignment="1">
      <alignment horizontal="right" vertical="center" shrinkToFit="1"/>
    </xf>
    <xf numFmtId="0" fontId="17" fillId="0" borderId="24" xfId="0" applyFont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87" fillId="0" borderId="0" xfId="0" applyFont="1" applyBorder="1" applyAlignment="1">
      <alignment horizontal="center" vertical="center"/>
    </xf>
    <xf numFmtId="0" fontId="87" fillId="0" borderId="67" xfId="0" applyFont="1" applyBorder="1" applyAlignment="1">
      <alignment horizontal="center" vertical="center"/>
    </xf>
    <xf numFmtId="0" fontId="85" fillId="20" borderId="27" xfId="0" applyFont="1" applyFill="1" applyBorder="1" applyAlignment="1">
      <alignment horizontal="center" vertical="center" wrapText="1"/>
    </xf>
    <xf numFmtId="43" fontId="17" fillId="0" borderId="0" xfId="2" applyFont="1" applyAlignment="1">
      <alignment horizontal="left" vertical="center"/>
    </xf>
    <xf numFmtId="43" fontId="16" fillId="0" borderId="0" xfId="2" applyFont="1" applyAlignment="1">
      <alignment horizontal="left" vertical="center"/>
    </xf>
    <xf numFmtId="49" fontId="81" fillId="0" borderId="24" xfId="0" applyNumberFormat="1" applyFont="1" applyBorder="1" applyAlignment="1">
      <alignment horizontal="left"/>
    </xf>
    <xf numFmtId="4" fontId="1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</cellXfs>
  <cellStyles count="6">
    <cellStyle name="Comma" xfId="2" builtinId="3"/>
    <cellStyle name="Comma 2" xfId="4"/>
    <cellStyle name="Normal" xfId="0" builtinId="0"/>
    <cellStyle name="Normal 2" xfId="3"/>
    <cellStyle name="Normal 4" xfId="1"/>
    <cellStyle name="Percent" xfId="5" builtinId="5"/>
  </cellStyles>
  <dxfs count="0"/>
  <tableStyles count="0" defaultTableStyle="TableStyleMedium9" defaultPivotStyle="PivotStyleLight16"/>
  <colors>
    <mruColors>
      <color rgb="FF0000FF"/>
      <color rgb="FFFFFFDD"/>
      <color rgb="FFFFFFFF"/>
      <color rgb="FF0033CC"/>
      <color rgb="FF800000"/>
      <color rgb="FFE1FECE"/>
      <color rgb="FFDFFECA"/>
      <color rgb="FFE3ECD0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5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7.emf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914400</xdr:colOff>
          <xdr:row>2</xdr:row>
          <xdr:rowOff>228600</xdr:rowOff>
        </xdr:to>
        <xdr:sp macro="" textlink="">
          <xdr:nvSpPr>
            <xdr:cNvPr id="34817" name="FILTER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xmlns="" id="{00000000-0008-0000-05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914400</xdr:colOff>
          <xdr:row>2</xdr:row>
          <xdr:rowOff>228600</xdr:rowOff>
        </xdr:to>
        <xdr:sp macro="" textlink="">
          <xdr:nvSpPr>
            <xdr:cNvPr id="34818" name="HEADER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xmlns="" id="{00000000-0008-0000-05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9</xdr:row>
          <xdr:rowOff>19050</xdr:rowOff>
        </xdr:from>
        <xdr:to>
          <xdr:col>9</xdr:col>
          <xdr:colOff>609600</xdr:colOff>
          <xdr:row>23</xdr:row>
          <xdr:rowOff>66675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xmlns="" id="{00000000-0008-0000-07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200025</xdr:colOff>
          <xdr:row>3</xdr:row>
          <xdr:rowOff>28575</xdr:rowOff>
        </xdr:to>
        <xdr:sp macro="" textlink="">
          <xdr:nvSpPr>
            <xdr:cNvPr id="9217" name="FILTER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xmlns="" id="{00000000-0008-0000-09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200025</xdr:colOff>
          <xdr:row>3</xdr:row>
          <xdr:rowOff>28575</xdr:rowOff>
        </xdr:to>
        <xdr:sp macro="" textlink="">
          <xdr:nvSpPr>
            <xdr:cNvPr id="9218" name="HEADER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xmlns="" id="{00000000-0008-0000-09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542925</xdr:colOff>
          <xdr:row>1</xdr:row>
          <xdr:rowOff>228600</xdr:rowOff>
        </xdr:to>
        <xdr:sp macro="" textlink="">
          <xdr:nvSpPr>
            <xdr:cNvPr id="3073" name="FILTER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A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542925</xdr:colOff>
          <xdr:row>1</xdr:row>
          <xdr:rowOff>228600</xdr:rowOff>
        </xdr:to>
        <xdr:sp macro="" textlink="">
          <xdr:nvSpPr>
            <xdr:cNvPr id="3074" name="HEADER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A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76200</xdr:colOff>
          <xdr:row>1</xdr:row>
          <xdr:rowOff>28575</xdr:rowOff>
        </xdr:to>
        <xdr:sp macro="" textlink="">
          <xdr:nvSpPr>
            <xdr:cNvPr id="16385" name="FILTER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xmlns="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76200</xdr:colOff>
          <xdr:row>1</xdr:row>
          <xdr:rowOff>28575</xdr:rowOff>
        </xdr:to>
        <xdr:sp macro="" textlink="">
          <xdr:nvSpPr>
            <xdr:cNvPr id="16386" name="HEADER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xmlns="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4</xdr:col>
          <xdr:colOff>123825</xdr:colOff>
          <xdr:row>2</xdr:row>
          <xdr:rowOff>28575</xdr:rowOff>
        </xdr:to>
        <xdr:sp macro="" textlink="">
          <xdr:nvSpPr>
            <xdr:cNvPr id="4097" name="FILTER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D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4</xdr:col>
          <xdr:colOff>123825</xdr:colOff>
          <xdr:row>2</xdr:row>
          <xdr:rowOff>28575</xdr:rowOff>
        </xdr:to>
        <xdr:sp macro="" textlink="">
          <xdr:nvSpPr>
            <xdr:cNvPr id="4098" name="HEADER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D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180975</xdr:colOff>
          <xdr:row>1</xdr:row>
          <xdr:rowOff>28575</xdr:rowOff>
        </xdr:to>
        <xdr:sp macro="" textlink="">
          <xdr:nvSpPr>
            <xdr:cNvPr id="5121" name="FILTER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xmlns="" id="{00000000-0008-0000-0E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180975</xdr:colOff>
          <xdr:row>1</xdr:row>
          <xdr:rowOff>28575</xdr:rowOff>
        </xdr:to>
        <xdr:sp macro="" textlink="">
          <xdr:nvSpPr>
            <xdr:cNvPr id="5122" name="HEADER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xmlns="" id="{00000000-0008-0000-0E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95250</xdr:colOff>
          <xdr:row>1</xdr:row>
          <xdr:rowOff>28575</xdr:rowOff>
        </xdr:to>
        <xdr:sp macro="" textlink="">
          <xdr:nvSpPr>
            <xdr:cNvPr id="6145" name="FILTER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xmlns="" id="{00000000-0008-0000-0F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95250</xdr:colOff>
          <xdr:row>1</xdr:row>
          <xdr:rowOff>28575</xdr:rowOff>
        </xdr:to>
        <xdr:sp macro="" textlink="">
          <xdr:nvSpPr>
            <xdr:cNvPr id="6146" name="HEADER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xmlns="" id="{00000000-0008-0000-0F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476250</xdr:colOff>
          <xdr:row>1</xdr:row>
          <xdr:rowOff>28575</xdr:rowOff>
        </xdr:to>
        <xdr:sp macro="" textlink="">
          <xdr:nvSpPr>
            <xdr:cNvPr id="8193" name="FILTER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xmlns="" id="{00000000-0008-0000-1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476250</xdr:colOff>
          <xdr:row>1</xdr:row>
          <xdr:rowOff>28575</xdr:rowOff>
        </xdr:to>
        <xdr:sp macro="" textlink="">
          <xdr:nvSpPr>
            <xdr:cNvPr id="8194" name="HEADER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xmlns="" id="{00000000-0008-0000-1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.xml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image" Target="../media/image7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4.xml"/><Relationship Id="rId5" Type="http://schemas.openxmlformats.org/officeDocument/2006/relationships/image" Target="../media/image6.emf"/><Relationship Id="rId4" Type="http://schemas.openxmlformats.org/officeDocument/2006/relationships/control" Target="../activeX/activeX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image" Target="../media/image9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6.xml"/><Relationship Id="rId5" Type="http://schemas.openxmlformats.org/officeDocument/2006/relationships/image" Target="../media/image8.emf"/><Relationship Id="rId4" Type="http://schemas.openxmlformats.org/officeDocument/2006/relationships/control" Target="../activeX/activeX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image" Target="../media/image11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.xml"/><Relationship Id="rId5" Type="http://schemas.openxmlformats.org/officeDocument/2006/relationships/image" Target="../media/image10.emf"/><Relationship Id="rId4" Type="http://schemas.openxmlformats.org/officeDocument/2006/relationships/control" Target="../activeX/activeX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7" Type="http://schemas.openxmlformats.org/officeDocument/2006/relationships/image" Target="../media/image13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10.xml"/><Relationship Id="rId5" Type="http://schemas.openxmlformats.org/officeDocument/2006/relationships/image" Target="../media/image12.emf"/><Relationship Id="rId4" Type="http://schemas.openxmlformats.org/officeDocument/2006/relationships/control" Target="../activeX/activeX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7" Type="http://schemas.openxmlformats.org/officeDocument/2006/relationships/image" Target="../media/image15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12.xml"/><Relationship Id="rId5" Type="http://schemas.openxmlformats.org/officeDocument/2006/relationships/image" Target="../media/image14.emf"/><Relationship Id="rId4" Type="http://schemas.openxmlformats.org/officeDocument/2006/relationships/control" Target="../activeX/activeX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7" Type="http://schemas.openxmlformats.org/officeDocument/2006/relationships/image" Target="../media/image17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Relationship Id="rId6" Type="http://schemas.openxmlformats.org/officeDocument/2006/relationships/control" Target="../activeX/activeX14.xml"/><Relationship Id="rId5" Type="http://schemas.openxmlformats.org/officeDocument/2006/relationships/image" Target="../media/image16.emf"/><Relationship Id="rId4" Type="http://schemas.openxmlformats.org/officeDocument/2006/relationships/control" Target="../activeX/activeX1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7" Type="http://schemas.openxmlformats.org/officeDocument/2006/relationships/image" Target="../media/image19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Relationship Id="rId6" Type="http://schemas.openxmlformats.org/officeDocument/2006/relationships/control" Target="../activeX/activeX16.xml"/><Relationship Id="rId5" Type="http://schemas.openxmlformats.org/officeDocument/2006/relationships/image" Target="../media/image18.emf"/><Relationship Id="rId4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B2:AM60"/>
  <sheetViews>
    <sheetView view="pageBreakPreview" zoomScaleNormal="100" zoomScaleSheetLayoutView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25" sqref="B25"/>
    </sheetView>
  </sheetViews>
  <sheetFormatPr defaultColWidth="9.140625" defaultRowHeight="15"/>
  <cols>
    <col min="1" max="1" width="9.140625" style="3"/>
    <col min="2" max="2" width="96" style="2" customWidth="1"/>
    <col min="3" max="3" width="27" style="281" customWidth="1"/>
    <col min="4" max="4" width="4.7109375" style="623" bestFit="1" customWidth="1"/>
    <col min="5" max="5" width="12.7109375" style="522" bestFit="1" customWidth="1"/>
    <col min="6" max="6" width="13.7109375" style="22" bestFit="1" customWidth="1"/>
    <col min="7" max="7" width="11.85546875" style="284" bestFit="1" customWidth="1"/>
    <col min="8" max="8" width="14.28515625" style="22" bestFit="1" customWidth="1"/>
    <col min="9" max="9" width="9.28515625" style="22" bestFit="1" customWidth="1"/>
    <col min="10" max="10" width="16.140625" style="22" bestFit="1" customWidth="1"/>
    <col min="11" max="11" width="9.140625" style="22"/>
    <col min="12" max="16384" width="9.140625" style="3"/>
  </cols>
  <sheetData>
    <row r="2" spans="2:35" s="21" customFormat="1" ht="23.25" customHeight="1">
      <c r="B2" s="21" t="s">
        <v>279</v>
      </c>
      <c r="C2" s="192"/>
      <c r="D2" s="117"/>
      <c r="E2" s="192"/>
      <c r="G2" s="304"/>
    </row>
    <row r="3" spans="2:35" ht="13.9" customHeight="1">
      <c r="B3" s="4" t="s">
        <v>351</v>
      </c>
    </row>
    <row r="4" spans="2:35">
      <c r="B4" s="3" t="s">
        <v>350</v>
      </c>
    </row>
    <row r="5" spans="2:35">
      <c r="B5" s="3" t="s">
        <v>23</v>
      </c>
    </row>
    <row r="6" spans="2:35" ht="18" customHeight="1">
      <c r="B6" s="6"/>
      <c r="H6" s="84">
        <f>J6-C22</f>
        <v>-3.2499991357326508E-3</v>
      </c>
      <c r="J6" s="522">
        <v>1764754.85</v>
      </c>
    </row>
    <row r="7" spans="2:35">
      <c r="B7" s="6" t="s">
        <v>349</v>
      </c>
    </row>
    <row r="8" spans="2:35">
      <c r="B8" s="4" t="s">
        <v>348</v>
      </c>
    </row>
    <row r="9" spans="2:35">
      <c r="B9" s="4" t="s">
        <v>347</v>
      </c>
      <c r="C9" s="37"/>
    </row>
    <row r="10" spans="2:35" ht="6.75" customHeight="1" thickBot="1">
      <c r="B10" s="4"/>
      <c r="C10" s="37"/>
    </row>
    <row r="11" spans="2:35" s="22" customFormat="1" ht="45" customHeight="1" thickBot="1">
      <c r="B11" s="137" t="s">
        <v>119</v>
      </c>
      <c r="C11" s="478" t="s">
        <v>384</v>
      </c>
      <c r="D11" s="623"/>
      <c r="E11" s="522"/>
      <c r="G11" s="28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2:35" ht="20.100000000000001" customHeight="1">
      <c r="B12" s="548" t="s">
        <v>462</v>
      </c>
      <c r="C12" s="675">
        <v>2300000</v>
      </c>
      <c r="F12" s="9"/>
      <c r="G12" s="631"/>
      <c r="H12" s="9"/>
      <c r="I12" s="9"/>
      <c r="J12" s="9"/>
      <c r="K12" s="9"/>
      <c r="L12" s="365"/>
      <c r="M12" s="365"/>
      <c r="N12" s="365"/>
      <c r="O12" s="365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</row>
    <row r="13" spans="2:35" ht="20.100000000000001" customHeight="1">
      <c r="B13" s="545" t="s">
        <v>343</v>
      </c>
      <c r="C13" s="676">
        <f>'Al Muhanad Variation 27-08-223'!$G$27</f>
        <v>2464754.8499999996</v>
      </c>
      <c r="E13" s="621" t="e">
        <f>#REF!-'Al Muhanad Variation 27-08-223'!G12</f>
        <v>#REF!</v>
      </c>
      <c r="F13" s="621">
        <f>C13-'Al Muhanad Variation 27-08-223'!G27</f>
        <v>0</v>
      </c>
      <c r="G13" s="632" t="e">
        <f>#REF!-'Al Muhanad Variation 27-08-223'!G35</f>
        <v>#REF!</v>
      </c>
      <c r="H13" s="621" t="e">
        <f>#REF!-'Al Muhanad Variation 27-08-223'!G42</f>
        <v>#REF!</v>
      </c>
      <c r="I13" s="621" t="e">
        <f>#REF!-'Al Muhanad Variation 27-08-223'!G44</f>
        <v>#REF!</v>
      </c>
      <c r="J13" s="522"/>
      <c r="K13" s="522"/>
      <c r="L13" s="37"/>
    </row>
    <row r="14" spans="2:35" s="19" customFormat="1" ht="20.100000000000001" customHeight="1">
      <c r="B14" s="655" t="s">
        <v>381</v>
      </c>
      <c r="C14" s="543">
        <f>SUM(C12:C13)</f>
        <v>4764754.8499999996</v>
      </c>
      <c r="D14" s="657" t="e">
        <f>#REF!-SUM(C12:C13)</f>
        <v>#REF!</v>
      </c>
      <c r="E14" s="196"/>
      <c r="F14" s="196"/>
      <c r="G14" s="286"/>
      <c r="H14" s="194"/>
      <c r="I14" s="194"/>
      <c r="J14" s="194"/>
      <c r="K14" s="194"/>
    </row>
    <row r="15" spans="2:35" s="355" customFormat="1" ht="20.100000000000001" customHeight="1" thickBot="1">
      <c r="B15" s="639" t="s">
        <v>468</v>
      </c>
      <c r="C15" s="677">
        <f>-C14*10%</f>
        <v>-476475.48499999999</v>
      </c>
      <c r="D15" s="624"/>
      <c r="E15" s="357" t="e">
        <f>+#REF!*5%</f>
        <v>#REF!</v>
      </c>
      <c r="F15" s="633" t="e">
        <f>+E15+#REF!</f>
        <v>#REF!</v>
      </c>
      <c r="H15" s="589"/>
      <c r="I15" s="589"/>
      <c r="J15" s="589"/>
      <c r="K15" s="589"/>
    </row>
    <row r="16" spans="2:35" s="539" customFormat="1" ht="20.100000000000001" customHeight="1" thickBot="1">
      <c r="B16" s="584" t="s">
        <v>379</v>
      </c>
      <c r="C16" s="586">
        <f>SUM(C14:C15)</f>
        <v>4288279.3649999993</v>
      </c>
      <c r="D16" s="630" t="e">
        <f>#REF!-SUM(C14:C15)</f>
        <v>#REF!</v>
      </c>
      <c r="E16" s="522"/>
      <c r="F16" s="590"/>
      <c r="H16" s="591"/>
      <c r="I16" s="591"/>
      <c r="J16" s="591"/>
      <c r="K16" s="591"/>
    </row>
    <row r="17" spans="2:39" ht="20.100000000000001" customHeight="1" thickBot="1">
      <c r="B17" s="581" t="s">
        <v>342</v>
      </c>
      <c r="C17" s="678">
        <f>C16*5%</f>
        <v>214413.96824999998</v>
      </c>
      <c r="D17" s="623" t="e">
        <f>#REF!-(SUM(C16:C16)*5%)</f>
        <v>#REF!</v>
      </c>
      <c r="F17" s="84"/>
    </row>
    <row r="18" spans="2:39" s="19" customFormat="1" ht="20.100000000000001" customHeight="1" thickBot="1">
      <c r="B18" s="576" t="s">
        <v>378</v>
      </c>
      <c r="C18" s="577">
        <f>SUM(C16:C17)</f>
        <v>4502693.3332499992</v>
      </c>
      <c r="D18" s="623" t="e">
        <f>#REF!-SUM(C16:C17)</f>
        <v>#REF!</v>
      </c>
      <c r="E18" s="522"/>
      <c r="F18" s="194"/>
      <c r="G18" s="286"/>
      <c r="H18" s="194"/>
      <c r="I18" s="194"/>
      <c r="J18" s="194"/>
      <c r="K18" s="194"/>
    </row>
    <row r="19" spans="2:39" s="342" customFormat="1" ht="20.100000000000001" customHeight="1">
      <c r="B19" s="572" t="s">
        <v>24</v>
      </c>
      <c r="C19" s="679">
        <f>-(217067.76+136753.68+85322.16+225289.68+146813.52+700000)</f>
        <v>-1511246.8</v>
      </c>
      <c r="D19" s="625"/>
      <c r="E19" s="522"/>
      <c r="F19" s="592"/>
      <c r="G19" s="344"/>
      <c r="H19" s="592"/>
      <c r="I19" s="592"/>
      <c r="J19" s="592"/>
      <c r="K19" s="592"/>
    </row>
    <row r="20" spans="2:39" s="342" customFormat="1" ht="20.100000000000001" customHeight="1" thickBot="1">
      <c r="B20" s="549" t="s">
        <v>436</v>
      </c>
      <c r="C20" s="680">
        <f>-SUM(C31:C34)</f>
        <v>-1226691.68</v>
      </c>
      <c r="D20" s="625" t="e">
        <f>#REF!+#REF!</f>
        <v>#REF!</v>
      </c>
      <c r="E20" s="522"/>
      <c r="F20" s="592"/>
      <c r="G20" s="344"/>
      <c r="H20" s="592"/>
      <c r="I20" s="592"/>
      <c r="J20" s="592"/>
      <c r="K20" s="592"/>
    </row>
    <row r="21" spans="2:39" s="649" customFormat="1" ht="20.100000000000001" customHeight="1" thickBot="1">
      <c r="B21" s="644" t="s">
        <v>458</v>
      </c>
      <c r="C21" s="681">
        <f t="shared" ref="C21" si="0">SUM(C19:C20)</f>
        <v>-2737938.48</v>
      </c>
      <c r="D21" s="629"/>
      <c r="E21" s="196"/>
      <c r="F21" s="647"/>
      <c r="G21" s="648"/>
      <c r="H21" s="647"/>
      <c r="I21" s="647"/>
      <c r="J21" s="647"/>
      <c r="K21" s="647"/>
    </row>
    <row r="22" spans="2:39" s="22" customFormat="1" ht="24.95" customHeight="1" thickBot="1">
      <c r="B22" s="542" t="s">
        <v>437</v>
      </c>
      <c r="C22" s="686">
        <f t="shared" ref="C22" si="1">C18+C21</f>
        <v>1764754.8532499992</v>
      </c>
      <c r="D22" s="623" t="e">
        <f>#REF!-(#REF!+#REF!)-#REF!</f>
        <v>#REF!</v>
      </c>
      <c r="E22" s="621" t="e">
        <f>#REF!-SUM(#REF!)</f>
        <v>#REF!</v>
      </c>
      <c r="F22" s="621">
        <f>C22-SUM(C18:C20)</f>
        <v>0</v>
      </c>
      <c r="G22" s="632" t="e">
        <f>#REF!-SUM(#REF!)</f>
        <v>#REF!</v>
      </c>
      <c r="H22" s="621" t="e">
        <f>#REF!-SUM(#REF!)</f>
        <v>#REF!</v>
      </c>
      <c r="I22" s="621" t="e">
        <f>#REF!-SUM(#REF!)</f>
        <v>#REF!</v>
      </c>
    </row>
    <row r="23" spans="2:39" s="22" customFormat="1" ht="24.95" customHeight="1">
      <c r="B23" s="566"/>
      <c r="C23" s="567"/>
      <c r="D23" s="623" t="e">
        <f>#REF!-SUM(C18:C18,C21:C21)</f>
        <v>#REF!</v>
      </c>
      <c r="E23" s="621" t="e">
        <f>#REF!-(#REF!+#REF!+#REF!+#REF!+#REF!+#REF!)</f>
        <v>#REF!</v>
      </c>
      <c r="F23" s="621">
        <f>C22-(C12+C13+C15+C17+C19+C20)</f>
        <v>0</v>
      </c>
      <c r="G23" s="632" t="e">
        <f>#REF!-(#REF!+#REF!+#REF!+#REF!+#REF!+#REF!)</f>
        <v>#REF!</v>
      </c>
      <c r="H23" s="621" t="e">
        <f>#REF!-(#REF!+#REF!+#REF!+#REF!+#REF!+#REF!)</f>
        <v>#REF!</v>
      </c>
      <c r="I23" s="621" t="e">
        <f>#REF!-(#REF!+#REF!+#REF!+#REF!+#REF!+#REF!)</f>
        <v>#REF!</v>
      </c>
    </row>
    <row r="24" spans="2:39" s="568" customFormat="1" ht="30" customHeight="1" thickBot="1">
      <c r="B24" s="709" t="s">
        <v>386</v>
      </c>
      <c r="C24" s="709"/>
      <c r="D24" s="626"/>
      <c r="E24" s="22"/>
      <c r="G24" s="287"/>
    </row>
    <row r="25" spans="2:39">
      <c r="B25" s="538" t="s">
        <v>377</v>
      </c>
      <c r="C25" s="682">
        <v>0</v>
      </c>
      <c r="E25" s="22"/>
    </row>
    <row r="26" spans="2:39" s="22" customFormat="1">
      <c r="B26" s="563" t="s">
        <v>376</v>
      </c>
      <c r="C26" s="685">
        <f>217067.76+136753.68+85322.16+225289.68+146813.52</f>
        <v>811246.8</v>
      </c>
      <c r="D26" s="623"/>
      <c r="G26" s="28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s="22" customFormat="1" ht="15.75" thickBot="1">
      <c r="B27" s="563" t="s">
        <v>465</v>
      </c>
      <c r="C27" s="685">
        <v>700000</v>
      </c>
      <c r="D27" s="623"/>
      <c r="G27" s="28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s="22" customFormat="1" ht="30" customHeight="1" thickBot="1">
      <c r="B28" s="595" t="s">
        <v>441</v>
      </c>
      <c r="C28" s="523">
        <f t="shared" ref="C28" si="2">SUM(C25:C27)</f>
        <v>1511246.8</v>
      </c>
      <c r="D28" s="623"/>
      <c r="G28" s="284"/>
    </row>
    <row r="29" spans="2:39" s="22" customFormat="1" ht="18" customHeight="1">
      <c r="B29" s="3"/>
      <c r="C29" s="3"/>
      <c r="D29" s="627"/>
      <c r="G29" s="28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39" s="568" customFormat="1" ht="30" customHeight="1" thickBot="1">
      <c r="B30" s="710" t="s">
        <v>440</v>
      </c>
      <c r="C30" s="710"/>
      <c r="D30" s="626"/>
      <c r="G30" s="287"/>
    </row>
    <row r="31" spans="2:39" s="22" customFormat="1">
      <c r="B31" s="538" t="s">
        <v>375</v>
      </c>
      <c r="C31" s="682">
        <f>689850</f>
        <v>689850</v>
      </c>
      <c r="D31" s="623"/>
      <c r="E31" s="522"/>
      <c r="G31" s="28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39" s="22" customFormat="1">
      <c r="B32" s="535" t="s">
        <v>375</v>
      </c>
      <c r="C32" s="683">
        <f>398953.8</f>
        <v>398953.8</v>
      </c>
      <c r="D32" s="623"/>
      <c r="E32" s="522"/>
      <c r="G32" s="28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2:39" s="22" customFormat="1">
      <c r="B33" s="535" t="s">
        <v>375</v>
      </c>
      <c r="C33" s="683">
        <f>306142.87-122500-60258.69</f>
        <v>123384.18</v>
      </c>
      <c r="D33" s="623"/>
      <c r="E33" s="522"/>
      <c r="G33" s="28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s="22" customFormat="1">
      <c r="B34" s="535" t="s">
        <v>374</v>
      </c>
      <c r="C34" s="684">
        <f>552503.7-228000-150000-80000-80000</f>
        <v>14503.699999999953</v>
      </c>
      <c r="D34" s="623"/>
      <c r="E34" s="522"/>
      <c r="G34" s="28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2:39" s="22" customFormat="1" ht="30" customHeight="1" thickBot="1">
      <c r="B35" s="594" t="s">
        <v>442</v>
      </c>
      <c r="C35" s="526">
        <f>SUM(C31:C34)</f>
        <v>1226691.68</v>
      </c>
      <c r="D35" s="623"/>
      <c r="E35" s="522"/>
      <c r="G35" s="284"/>
    </row>
    <row r="36" spans="2:39" s="22" customFormat="1" ht="5.0999999999999996" customHeight="1" thickBot="1">
      <c r="B36" s="3"/>
      <c r="C36" s="3"/>
      <c r="D36" s="627"/>
      <c r="G36" s="28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39" s="22" customFormat="1" ht="39.950000000000003" customHeight="1" thickBot="1">
      <c r="B37" s="525" t="s">
        <v>18</v>
      </c>
      <c r="C37" s="524">
        <f>SUM(C35,C28)</f>
        <v>2737938.48</v>
      </c>
      <c r="D37" s="623"/>
      <c r="E37" s="522"/>
      <c r="G37" s="284"/>
    </row>
    <row r="41" spans="2:39" s="614" customFormat="1" ht="30" customHeight="1" thickBot="1">
      <c r="B41" s="711" t="s">
        <v>459</v>
      </c>
      <c r="C41" s="711"/>
      <c r="D41" s="628"/>
      <c r="G41" s="635"/>
    </row>
    <row r="42" spans="2:39" s="22" customFormat="1">
      <c r="B42" s="597" t="s">
        <v>448</v>
      </c>
      <c r="C42" s="599">
        <v>45049</v>
      </c>
      <c r="D42" s="623"/>
      <c r="E42" s="522"/>
      <c r="G42" s="28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39" s="22" customFormat="1">
      <c r="B43" s="457" t="s">
        <v>446</v>
      </c>
      <c r="C43" s="602">
        <v>45117</v>
      </c>
      <c r="D43" s="623"/>
      <c r="E43" s="522"/>
      <c r="G43" s="28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2:39" s="22" customFormat="1">
      <c r="B44" s="668" t="s">
        <v>446</v>
      </c>
      <c r="C44" s="670">
        <v>45112</v>
      </c>
      <c r="D44" s="623"/>
      <c r="E44" s="522"/>
      <c r="G44" s="28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s="22" customFormat="1">
      <c r="B45" s="457" t="s">
        <v>460</v>
      </c>
      <c r="C45" s="602">
        <v>45141</v>
      </c>
      <c r="D45" s="623"/>
      <c r="E45" s="522"/>
      <c r="G45" s="28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2:39" s="22" customFormat="1">
      <c r="B46" s="668" t="s">
        <v>448</v>
      </c>
      <c r="C46" s="670">
        <v>45089</v>
      </c>
      <c r="D46" s="623"/>
      <c r="E46" s="658" t="s">
        <v>461</v>
      </c>
      <c r="G46" s="28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2:39" s="22" customFormat="1">
      <c r="B47" s="668" t="s">
        <v>443</v>
      </c>
      <c r="C47" s="670">
        <v>45132</v>
      </c>
      <c r="D47" s="623"/>
      <c r="E47" s="522"/>
      <c r="G47" s="28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2:39" s="22" customFormat="1">
      <c r="B48" s="668" t="s">
        <v>449</v>
      </c>
      <c r="C48" s="670">
        <v>45134</v>
      </c>
      <c r="D48" s="623"/>
      <c r="E48" s="522"/>
      <c r="G48" s="28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2:39" s="22" customFormat="1">
      <c r="B49" s="457" t="s">
        <v>460</v>
      </c>
      <c r="C49" s="602">
        <v>45136</v>
      </c>
      <c r="D49" s="623"/>
      <c r="E49" s="522"/>
      <c r="G49" s="28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2:39" s="22" customFormat="1">
      <c r="B50" s="457" t="s">
        <v>449</v>
      </c>
      <c r="C50" s="602">
        <v>45153</v>
      </c>
      <c r="D50" s="623"/>
      <c r="E50" s="522"/>
      <c r="G50" s="28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2:39" s="22" customFormat="1">
      <c r="B51" s="457" t="s">
        <v>452</v>
      </c>
      <c r="C51" s="602">
        <v>45156</v>
      </c>
      <c r="D51" s="623"/>
      <c r="E51" s="522"/>
      <c r="G51" s="28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2:39" s="22" customFormat="1">
      <c r="B52" s="457" t="s">
        <v>450</v>
      </c>
      <c r="C52" s="602">
        <v>45159</v>
      </c>
      <c r="D52" s="623"/>
      <c r="E52" s="522"/>
      <c r="G52" s="28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2:39" s="22" customFormat="1">
      <c r="B53" s="457" t="s">
        <v>451</v>
      </c>
      <c r="C53" s="602">
        <v>45157</v>
      </c>
      <c r="D53" s="623"/>
      <c r="E53" s="522"/>
      <c r="G53" s="28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2:39" s="22" customFormat="1">
      <c r="B54" s="457" t="s">
        <v>452</v>
      </c>
      <c r="C54" s="602">
        <v>45157</v>
      </c>
      <c r="D54" s="623"/>
      <c r="E54" s="522"/>
      <c r="G54" s="28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2:39" s="22" customFormat="1">
      <c r="B55" s="457" t="s">
        <v>452</v>
      </c>
      <c r="C55" s="602">
        <v>45157</v>
      </c>
      <c r="D55" s="623"/>
      <c r="E55" s="522"/>
      <c r="G55" s="28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2:39" s="22" customFormat="1">
      <c r="B56" s="457" t="s">
        <v>451</v>
      </c>
      <c r="C56" s="602">
        <v>45156</v>
      </c>
      <c r="D56" s="623"/>
      <c r="E56" s="522"/>
      <c r="G56" s="28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2:39" s="22" customFormat="1">
      <c r="B57" s="457" t="s">
        <v>446</v>
      </c>
      <c r="C57" s="602">
        <v>45156</v>
      </c>
      <c r="D57" s="623"/>
      <c r="E57" s="522"/>
      <c r="G57" s="28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2:39" s="22" customFormat="1" ht="15.75" thickBot="1">
      <c r="B58" s="454" t="s">
        <v>344</v>
      </c>
      <c r="C58" s="606">
        <v>45160</v>
      </c>
      <c r="D58" s="623"/>
      <c r="E58" s="522"/>
      <c r="G58" s="28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2:39" s="191" customFormat="1" ht="24.95" customHeight="1">
      <c r="B59" s="609"/>
      <c r="C59" s="611"/>
      <c r="D59" s="117"/>
      <c r="E59" s="613"/>
      <c r="G59" s="632"/>
    </row>
    <row r="60" spans="2:39" s="22" customFormat="1">
      <c r="B60" s="4"/>
      <c r="C60" s="596"/>
      <c r="D60" s="623"/>
      <c r="E60" s="522"/>
      <c r="G60" s="28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</sheetData>
  <mergeCells count="3">
    <mergeCell ref="B24:C24"/>
    <mergeCell ref="B30:C30"/>
    <mergeCell ref="B41:C41"/>
  </mergeCells>
  <printOptions horizontalCentered="1"/>
  <pageMargins left="0" right="0" top="1.58" bottom="0" header="0.39" footer="0"/>
  <pageSetup paperSize="9" scale="70" orientation="portrait" r:id="rId1"/>
  <headerFooter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B2:AM76"/>
  <sheetViews>
    <sheetView zoomScaleNormal="100" zoomScaleSheetLayoutView="100" workbookViewId="0">
      <pane xSplit="2" ySplit="11" topLeftCell="C32" activePane="bottomRight" state="frozen"/>
      <selection pane="topRight" activeCell="C1" sqref="C1"/>
      <selection pane="bottomLeft" activeCell="A12" sqref="A12"/>
      <selection pane="bottomRight" activeCell="D42" sqref="D42"/>
    </sheetView>
  </sheetViews>
  <sheetFormatPr defaultColWidth="9.140625" defaultRowHeight="15"/>
  <cols>
    <col min="1" max="1" width="9.140625" style="3"/>
    <col min="2" max="2" width="60.85546875" style="2" customWidth="1"/>
    <col min="3" max="6" width="15.85546875" style="281" customWidth="1"/>
    <col min="7" max="7" width="15.85546875" style="521" customWidth="1"/>
    <col min="8" max="8" width="4.7109375" style="623" bestFit="1" customWidth="1"/>
    <col min="9" max="9" width="12.7109375" style="522" bestFit="1" customWidth="1"/>
    <col min="10" max="10" width="13.7109375" style="22" bestFit="1" customWidth="1"/>
    <col min="11" max="11" width="11.85546875" style="284" bestFit="1" customWidth="1"/>
    <col min="12" max="12" width="14.28515625" style="22" bestFit="1" customWidth="1"/>
    <col min="13" max="13" width="9.28515625" style="22" bestFit="1" customWidth="1"/>
    <col min="14" max="14" width="16.140625" style="22" bestFit="1" customWidth="1"/>
    <col min="15" max="15" width="9.140625" style="22"/>
    <col min="16" max="16384" width="9.140625" style="3"/>
  </cols>
  <sheetData>
    <row r="2" spans="2:39" s="21" customFormat="1" ht="23.25" customHeight="1">
      <c r="B2" s="21" t="s">
        <v>279</v>
      </c>
      <c r="D2" s="192"/>
      <c r="E2" s="674"/>
      <c r="F2" s="192" t="s">
        <v>352</v>
      </c>
      <c r="G2" s="674"/>
      <c r="H2" s="117"/>
      <c r="I2" s="192"/>
      <c r="K2" s="304"/>
    </row>
    <row r="3" spans="2:39" ht="13.9" customHeight="1">
      <c r="B3" s="4" t="s">
        <v>351</v>
      </c>
      <c r="E3" s="673"/>
      <c r="F3" s="712"/>
      <c r="G3" s="712"/>
    </row>
    <row r="4" spans="2:39">
      <c r="B4" s="3" t="s">
        <v>350</v>
      </c>
      <c r="E4" s="437"/>
      <c r="F4" s="369" t="s">
        <v>6</v>
      </c>
      <c r="G4" s="437">
        <f ca="1">TODAY()</f>
        <v>45298</v>
      </c>
    </row>
    <row r="5" spans="2:39">
      <c r="B5" s="3" t="s">
        <v>23</v>
      </c>
      <c r="E5" s="369"/>
      <c r="F5" s="370" t="s">
        <v>5</v>
      </c>
      <c r="G5" s="369"/>
    </row>
    <row r="6" spans="2:39" ht="18" customHeight="1">
      <c r="B6" s="6"/>
      <c r="E6" s="270"/>
      <c r="F6" s="270"/>
      <c r="G6" s="270"/>
      <c r="L6" s="84">
        <f>N6-D22</f>
        <v>-3.2499991357326508E-3</v>
      </c>
      <c r="N6" s="522">
        <v>1764754.85</v>
      </c>
    </row>
    <row r="7" spans="2:39" ht="15.75">
      <c r="B7" s="6" t="s">
        <v>349</v>
      </c>
      <c r="E7" s="314"/>
      <c r="F7" s="368" t="s">
        <v>3</v>
      </c>
      <c r="G7" s="664">
        <f>G27</f>
        <v>3910743.6494999994</v>
      </c>
    </row>
    <row r="8" spans="2:39">
      <c r="B8" s="4" t="s">
        <v>348</v>
      </c>
      <c r="E8" s="438"/>
      <c r="F8" s="367" t="s">
        <v>236</v>
      </c>
      <c r="G8" s="438">
        <f ca="1">G4</f>
        <v>45298</v>
      </c>
    </row>
    <row r="9" spans="2:39" ht="15.75">
      <c r="B9" s="4" t="s">
        <v>347</v>
      </c>
      <c r="C9" s="37"/>
      <c r="D9" s="37"/>
      <c r="E9" s="37"/>
      <c r="F9" s="37"/>
      <c r="G9" s="280"/>
    </row>
    <row r="10" spans="2:39" ht="6.75" customHeight="1" thickBot="1">
      <c r="B10" s="4"/>
      <c r="C10" s="37"/>
      <c r="D10" s="37"/>
      <c r="E10" s="37"/>
      <c r="F10" s="37"/>
      <c r="G10" s="280"/>
    </row>
    <row r="11" spans="2:39" s="22" customFormat="1" ht="45" customHeight="1" thickBot="1">
      <c r="B11" s="137" t="s">
        <v>119</v>
      </c>
      <c r="C11" s="366" t="s">
        <v>385</v>
      </c>
      <c r="D11" s="366" t="s">
        <v>384</v>
      </c>
      <c r="E11" s="366" t="s">
        <v>383</v>
      </c>
      <c r="F11" s="366" t="s">
        <v>382</v>
      </c>
      <c r="G11" s="478" t="s">
        <v>12</v>
      </c>
      <c r="H11" s="623"/>
      <c r="I11" s="522"/>
      <c r="K11" s="28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20.100000000000001" customHeight="1">
      <c r="B12" s="548" t="s">
        <v>462</v>
      </c>
      <c r="C12" s="547">
        <v>1300000</v>
      </c>
      <c r="D12" s="547">
        <v>2300000</v>
      </c>
      <c r="E12" s="547">
        <v>1500000</v>
      </c>
      <c r="F12" s="547">
        <v>1500000</v>
      </c>
      <c r="G12" s="546">
        <f t="shared" ref="G12:G20" si="0">SUM(C12:F12)</f>
        <v>6600000</v>
      </c>
      <c r="J12" s="9"/>
      <c r="K12" s="631"/>
      <c r="L12" s="9"/>
      <c r="M12" s="9"/>
      <c r="N12" s="9"/>
      <c r="O12" s="9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</row>
    <row r="13" spans="2:39" ht="20.100000000000001" customHeight="1">
      <c r="B13" s="545" t="s">
        <v>343</v>
      </c>
      <c r="C13" s="544">
        <f>'Al Muhanad Variation 27-08-223'!$G$12</f>
        <v>2120317</v>
      </c>
      <c r="D13" s="544">
        <f>'Al Muhanad Variation 27-08-223'!$G$27</f>
        <v>2464754.8499999996</v>
      </c>
      <c r="E13" s="544">
        <f>'Al Muhanad Variation 27-08-223'!$G$35</f>
        <v>67678.94</v>
      </c>
      <c r="F13" s="544">
        <f>'Al Muhanad Variation 27-08-223'!$G$42</f>
        <v>149134</v>
      </c>
      <c r="G13" s="543">
        <f t="shared" si="0"/>
        <v>4801884.79</v>
      </c>
      <c r="I13" s="621">
        <f>C13-'Al Muhanad Variation 27-08-223'!G12</f>
        <v>0</v>
      </c>
      <c r="J13" s="621">
        <f>D13-'Al Muhanad Variation 27-08-223'!G27</f>
        <v>0</v>
      </c>
      <c r="K13" s="632">
        <f>E13-'Al Muhanad Variation 27-08-223'!G35</f>
        <v>0</v>
      </c>
      <c r="L13" s="621">
        <f>F13-'Al Muhanad Variation 27-08-223'!G42</f>
        <v>0</v>
      </c>
      <c r="M13" s="621">
        <f>G13-'Al Muhanad Variation 27-08-223'!G44</f>
        <v>0</v>
      </c>
      <c r="N13" s="522"/>
      <c r="O13" s="522"/>
      <c r="P13" s="37"/>
    </row>
    <row r="14" spans="2:39" s="19" customFormat="1" ht="20.100000000000001" customHeight="1">
      <c r="B14" s="655" t="s">
        <v>381</v>
      </c>
      <c r="C14" s="656">
        <f>SUM(C12:C13)</f>
        <v>3420317</v>
      </c>
      <c r="D14" s="656">
        <f>SUM(D12:D13)</f>
        <v>4764754.8499999996</v>
      </c>
      <c r="E14" s="656">
        <f>SUM(E12:E13)</f>
        <v>1567678.94</v>
      </c>
      <c r="F14" s="656">
        <f>SUM(F12:F13)</f>
        <v>1649134</v>
      </c>
      <c r="G14" s="543">
        <f t="shared" si="0"/>
        <v>11401884.789999999</v>
      </c>
      <c r="H14" s="657">
        <f>G14-SUM(C12:F13)</f>
        <v>0</v>
      </c>
      <c r="I14" s="196"/>
      <c r="J14" s="196"/>
      <c r="K14" s="286"/>
      <c r="L14" s="194"/>
      <c r="M14" s="194"/>
      <c r="N14" s="194"/>
      <c r="O14" s="194"/>
    </row>
    <row r="15" spans="2:39" s="355" customFormat="1" ht="20.100000000000001" customHeight="1" thickBot="1">
      <c r="B15" s="639" t="s">
        <v>457</v>
      </c>
      <c r="C15" s="640">
        <f>-C14*10%</f>
        <v>-342031.7</v>
      </c>
      <c r="D15" s="640">
        <f>-D14*10%</f>
        <v>-476475.48499999999</v>
      </c>
      <c r="E15" s="641">
        <f>-E14*0%</f>
        <v>0</v>
      </c>
      <c r="F15" s="641">
        <f>-F14*0%</f>
        <v>0</v>
      </c>
      <c r="G15" s="642">
        <f t="shared" si="0"/>
        <v>-818507.18500000006</v>
      </c>
      <c r="H15" s="624"/>
      <c r="I15" s="357">
        <f>+G15*5%</f>
        <v>-40925.359250000009</v>
      </c>
      <c r="J15" s="633">
        <f>+I15+G15</f>
        <v>-859432.54425000004</v>
      </c>
      <c r="L15" s="589"/>
      <c r="M15" s="589"/>
      <c r="N15" s="589"/>
      <c r="O15" s="589"/>
    </row>
    <row r="16" spans="2:39" s="539" customFormat="1" ht="20.100000000000001" customHeight="1" thickBot="1">
      <c r="B16" s="584" t="s">
        <v>379</v>
      </c>
      <c r="C16" s="585">
        <f>SUM(C14:C15)</f>
        <v>3078285.3</v>
      </c>
      <c r="D16" s="585">
        <f>SUM(D14:D15)</f>
        <v>4288279.3649999993</v>
      </c>
      <c r="E16" s="585">
        <f>SUM(E14:E15)</f>
        <v>1567678.94</v>
      </c>
      <c r="F16" s="585">
        <f>SUM(F14:F15)</f>
        <v>1649134</v>
      </c>
      <c r="G16" s="586">
        <f t="shared" si="0"/>
        <v>10583377.604999999</v>
      </c>
      <c r="H16" s="630">
        <f>G16-SUM(C14:F15)</f>
        <v>0</v>
      </c>
      <c r="I16" s="522"/>
      <c r="J16" s="590"/>
      <c r="L16" s="591"/>
      <c r="M16" s="591"/>
      <c r="N16" s="591"/>
      <c r="O16" s="591"/>
    </row>
    <row r="17" spans="2:15" ht="20.100000000000001" customHeight="1" thickBot="1">
      <c r="B17" s="581" t="s">
        <v>342</v>
      </c>
      <c r="C17" s="582">
        <f>C16*5%</f>
        <v>153914.26499999998</v>
      </c>
      <c r="D17" s="582">
        <f>D16*5%</f>
        <v>214413.96824999998</v>
      </c>
      <c r="E17" s="582">
        <f>E16*5%</f>
        <v>78383.947</v>
      </c>
      <c r="F17" s="582">
        <f>F16*5%</f>
        <v>82456.700000000012</v>
      </c>
      <c r="G17" s="583">
        <f t="shared" si="0"/>
        <v>529168.88024999993</v>
      </c>
      <c r="H17" s="623">
        <f>G17-(SUM(C16:F16)*5%)</f>
        <v>0</v>
      </c>
      <c r="J17" s="84"/>
    </row>
    <row r="18" spans="2:15" s="19" customFormat="1" ht="20.100000000000001" customHeight="1" thickBot="1">
      <c r="B18" s="576" t="s">
        <v>378</v>
      </c>
      <c r="C18" s="494">
        <f>SUM(C16:C17)</f>
        <v>3232199.5649999999</v>
      </c>
      <c r="D18" s="494">
        <f>SUM(D16:D17)</f>
        <v>4502693.3332499992</v>
      </c>
      <c r="E18" s="494">
        <f>SUM(E16:E17)</f>
        <v>1646062.8869999999</v>
      </c>
      <c r="F18" s="494">
        <f>SUM(F16:F17)</f>
        <v>1731590.7</v>
      </c>
      <c r="G18" s="577">
        <f t="shared" si="0"/>
        <v>11112546.485249998</v>
      </c>
      <c r="H18" s="623">
        <f>G18-SUM(C16:F17)</f>
        <v>0</v>
      </c>
      <c r="I18" s="522"/>
      <c r="J18" s="194"/>
      <c r="K18" s="286"/>
      <c r="L18" s="194"/>
      <c r="M18" s="194"/>
      <c r="N18" s="194"/>
      <c r="O18" s="194"/>
    </row>
    <row r="19" spans="2:15" s="342" customFormat="1" ht="20.100000000000001" customHeight="1">
      <c r="B19" s="572" t="s">
        <v>24</v>
      </c>
      <c r="C19" s="573">
        <f>-(250000+100000+50000+122150.26+44620.28+230389.47+50000+250000)</f>
        <v>-1097160.01</v>
      </c>
      <c r="D19" s="573">
        <f>-(217067.76+136753.68+85322.16+225289.68+146813.52+700000)</f>
        <v>-1511246.8</v>
      </c>
      <c r="E19" s="574">
        <f>-(100000+100000+121528.9+254806.86+380127.67+450248.65)</f>
        <v>-1406712.08</v>
      </c>
      <c r="F19" s="573">
        <f>-(176470.56+243571.44+295742.79+129546.51)</f>
        <v>-845331.3</v>
      </c>
      <c r="G19" s="575">
        <f t="shared" si="0"/>
        <v>-4860450.1900000004</v>
      </c>
      <c r="H19" s="625"/>
      <c r="I19" s="522"/>
      <c r="J19" s="592"/>
      <c r="K19" s="344"/>
      <c r="L19" s="592"/>
      <c r="M19" s="592"/>
      <c r="N19" s="592"/>
      <c r="O19" s="592"/>
    </row>
    <row r="20" spans="2:15" s="342" customFormat="1" ht="20.100000000000001" customHeight="1" thickBot="1">
      <c r="B20" s="549" t="s">
        <v>436</v>
      </c>
      <c r="C20" s="550">
        <f>-SUM(C39:C50)</f>
        <v>-854024.89</v>
      </c>
      <c r="D20" s="550">
        <f>-SUM(D39:D50)</f>
        <v>-1226691.68</v>
      </c>
      <c r="E20" s="551">
        <f>-SUM(E39:E50)</f>
        <v>-319350.81</v>
      </c>
      <c r="F20" s="550">
        <f>-SUM(F39:F50)</f>
        <v>-800717.80999999994</v>
      </c>
      <c r="G20" s="552">
        <f t="shared" si="0"/>
        <v>-3200785.19</v>
      </c>
      <c r="H20" s="625">
        <f>G20+G51</f>
        <v>0</v>
      </c>
      <c r="I20" s="522"/>
      <c r="J20" s="592"/>
      <c r="K20" s="344"/>
      <c r="L20" s="592"/>
      <c r="M20" s="592"/>
      <c r="N20" s="592"/>
      <c r="O20" s="592"/>
    </row>
    <row r="21" spans="2:15" s="649" customFormat="1" ht="20.100000000000001" customHeight="1" thickBot="1">
      <c r="B21" s="644" t="s">
        <v>458</v>
      </c>
      <c r="C21" s="645">
        <f>SUM(C19:C20)</f>
        <v>-1951184.9</v>
      </c>
      <c r="D21" s="645">
        <f t="shared" ref="D21:G21" si="1">SUM(D19:D20)</f>
        <v>-2737938.48</v>
      </c>
      <c r="E21" s="646">
        <f t="shared" si="1"/>
        <v>-1726062.8900000001</v>
      </c>
      <c r="F21" s="645">
        <f t="shared" si="1"/>
        <v>-1646049.1099999999</v>
      </c>
      <c r="G21" s="643">
        <f t="shared" si="1"/>
        <v>-8061235.3800000008</v>
      </c>
      <c r="H21" s="629"/>
      <c r="I21" s="196"/>
      <c r="J21" s="647"/>
      <c r="K21" s="648"/>
      <c r="L21" s="647"/>
      <c r="M21" s="647"/>
      <c r="N21" s="647"/>
      <c r="O21" s="647"/>
    </row>
    <row r="22" spans="2:15" s="22" customFormat="1" ht="24.95" customHeight="1" thickBot="1">
      <c r="B22" s="542" t="s">
        <v>437</v>
      </c>
      <c r="C22" s="541">
        <f>C18+C21</f>
        <v>1281014.665</v>
      </c>
      <c r="D22" s="541">
        <f t="shared" ref="D22:G22" si="2">D18+D21</f>
        <v>1764754.8532499992</v>
      </c>
      <c r="E22" s="541">
        <f t="shared" si="2"/>
        <v>-80000.003000000259</v>
      </c>
      <c r="F22" s="541">
        <f>F18+F21</f>
        <v>85541.590000000084</v>
      </c>
      <c r="G22" s="540">
        <f t="shared" si="2"/>
        <v>3051311.1052499972</v>
      </c>
      <c r="H22" s="623">
        <f>G18-(G35+G51)-G22</f>
        <v>0</v>
      </c>
      <c r="I22" s="621">
        <f>C22-SUM(C18:C20)</f>
        <v>0</v>
      </c>
      <c r="J22" s="621">
        <f>D22-SUM(D18:D20)</f>
        <v>0</v>
      </c>
      <c r="K22" s="632">
        <f>E22-SUM(E18:E20)</f>
        <v>0</v>
      </c>
      <c r="L22" s="621">
        <f>F22-SUM(F18:F20)</f>
        <v>1.1641532182693481E-10</v>
      </c>
      <c r="M22" s="621">
        <f t="shared" ref="M22" si="3">G22-SUM(G18:G20)</f>
        <v>0</v>
      </c>
    </row>
    <row r="23" spans="2:15" s="22" customFormat="1" ht="24.95" customHeight="1">
      <c r="B23" s="566"/>
      <c r="C23" s="567"/>
      <c r="D23" s="567"/>
      <c r="E23" s="567"/>
      <c r="F23" s="567"/>
      <c r="G23" s="567"/>
      <c r="H23" s="623">
        <f>G22-SUM(C18:F18,C21:F21)</f>
        <v>0</v>
      </c>
      <c r="I23" s="621">
        <f>C22-(C12+C13+C15+C17+C19+C20)</f>
        <v>0</v>
      </c>
      <c r="J23" s="621">
        <f>D22-(D12+D13+D15+D17+D19+D20)</f>
        <v>0</v>
      </c>
      <c r="K23" s="632">
        <f>E22-(E12+E13+E15+E17+E19+E20)</f>
        <v>0</v>
      </c>
      <c r="L23" s="621">
        <f>F22-(F12+F13+F15+F17+F19+F20)</f>
        <v>1.1641532182693481E-10</v>
      </c>
      <c r="M23" s="621">
        <f t="shared" ref="M23" si="4">G22-(G12+G13+G15+G17+G19+G20)</f>
        <v>0</v>
      </c>
    </row>
    <row r="24" spans="2:15" s="568" customFormat="1" ht="30" customHeight="1" thickBot="1">
      <c r="B24" s="710" t="s">
        <v>439</v>
      </c>
      <c r="C24" s="710"/>
      <c r="D24" s="710"/>
      <c r="E24" s="710"/>
      <c r="F24" s="710"/>
      <c r="G24" s="710"/>
      <c r="H24" s="626"/>
      <c r="K24" s="287"/>
    </row>
    <row r="25" spans="2:15" s="355" customFormat="1" ht="20.100000000000001" customHeight="1">
      <c r="B25" s="650" t="s">
        <v>438</v>
      </c>
      <c r="C25" s="651">
        <f>-((C15*0.05)+C15)</f>
        <v>359133.28500000003</v>
      </c>
      <c r="D25" s="651">
        <f>-((D15*0.05)+D15)</f>
        <v>500299.25925</v>
      </c>
      <c r="E25" s="651">
        <v>0</v>
      </c>
      <c r="F25" s="651">
        <v>0</v>
      </c>
      <c r="G25" s="652">
        <f>SUM(C25:F25)</f>
        <v>859432.54425000004</v>
      </c>
      <c r="H25" s="624">
        <f>G25+G15+I15</f>
        <v>0</v>
      </c>
      <c r="I25" s="588"/>
      <c r="J25" s="589"/>
      <c r="K25" s="357"/>
      <c r="L25" s="589"/>
      <c r="M25" s="589"/>
      <c r="N25" s="589"/>
      <c r="O25" s="589"/>
    </row>
    <row r="26" spans="2:15" s="355" customFormat="1" ht="20.100000000000001" customHeight="1" thickBot="1">
      <c r="B26" s="653" t="s">
        <v>437</v>
      </c>
      <c r="C26" s="654">
        <f>C22</f>
        <v>1281014.665</v>
      </c>
      <c r="D26" s="654">
        <f t="shared" ref="D26:F26" si="5">D22</f>
        <v>1764754.8532499992</v>
      </c>
      <c r="E26" s="654">
        <f t="shared" si="5"/>
        <v>-80000.003000000259</v>
      </c>
      <c r="F26" s="654">
        <f t="shared" si="5"/>
        <v>85541.590000000084</v>
      </c>
      <c r="G26" s="528">
        <f>SUM(C26:F26)</f>
        <v>3051311.1052499991</v>
      </c>
      <c r="H26" s="624">
        <f>G26-SUM(C22:F22)</f>
        <v>0</v>
      </c>
      <c r="I26" s="588"/>
      <c r="J26" s="589"/>
      <c r="K26" s="357"/>
      <c r="L26" s="589"/>
      <c r="M26" s="589"/>
      <c r="N26" s="589"/>
      <c r="O26" s="589"/>
    </row>
    <row r="27" spans="2:15" s="22" customFormat="1" ht="30" customHeight="1" thickBot="1">
      <c r="B27" s="595" t="s">
        <v>360</v>
      </c>
      <c r="C27" s="524">
        <f>SUM(C25:C26)</f>
        <v>1640147.9500000002</v>
      </c>
      <c r="D27" s="524">
        <f t="shared" ref="D27:G27" si="6">SUM(D25:D26)</f>
        <v>2265054.1124999993</v>
      </c>
      <c r="E27" s="524">
        <f t="shared" si="6"/>
        <v>-80000.003000000259</v>
      </c>
      <c r="F27" s="524">
        <f t="shared" si="6"/>
        <v>85541.590000000084</v>
      </c>
      <c r="G27" s="523">
        <f t="shared" si="6"/>
        <v>3910743.6494999994</v>
      </c>
      <c r="H27" s="623">
        <f>G27-SUM(C25:F26)</f>
        <v>0</v>
      </c>
      <c r="I27" s="622">
        <f>C27-(C25+C26)</f>
        <v>0</v>
      </c>
      <c r="J27" s="622">
        <f>D27-(D25+D26)</f>
        <v>0</v>
      </c>
      <c r="K27" s="634">
        <f>E27-(E25+E26)</f>
        <v>0</v>
      </c>
      <c r="L27" s="622">
        <f>F27-(F25+F26)</f>
        <v>0</v>
      </c>
      <c r="M27" s="622">
        <f>G27-(G25+G26)</f>
        <v>0</v>
      </c>
    </row>
    <row r="28" spans="2:15" s="570" customFormat="1" ht="24.95" customHeight="1">
      <c r="B28" s="569"/>
      <c r="H28" s="623">
        <f>SUM(C27:F27)-G27</f>
        <v>0</v>
      </c>
      <c r="N28" s="593"/>
      <c r="O28" s="590"/>
    </row>
    <row r="29" spans="2:15" s="539" customFormat="1" ht="24.95" customHeight="1">
      <c r="B29" s="553"/>
      <c r="C29" s="554"/>
      <c r="D29" s="554"/>
      <c r="E29" s="554"/>
      <c r="F29" s="554"/>
      <c r="G29" s="555"/>
      <c r="H29" s="630"/>
      <c r="I29" s="22"/>
      <c r="J29" s="591"/>
      <c r="K29" s="633"/>
      <c r="L29" s="591"/>
      <c r="M29" s="591"/>
      <c r="N29" s="591"/>
      <c r="O29" s="591"/>
    </row>
    <row r="30" spans="2:15" s="539" customFormat="1" ht="24.95" customHeight="1">
      <c r="B30" s="553"/>
      <c r="C30" s="554"/>
      <c r="D30" s="554"/>
      <c r="E30" s="554"/>
      <c r="F30" s="554"/>
      <c r="G30" s="555"/>
      <c r="H30" s="630"/>
      <c r="I30" s="22"/>
      <c r="J30" s="591"/>
      <c r="K30" s="633"/>
      <c r="L30" s="591"/>
      <c r="M30" s="591"/>
      <c r="N30" s="591"/>
      <c r="O30" s="591"/>
    </row>
    <row r="31" spans="2:15" s="568" customFormat="1" ht="30" customHeight="1" thickBot="1">
      <c r="B31" s="709" t="s">
        <v>386</v>
      </c>
      <c r="C31" s="709"/>
      <c r="D31" s="709"/>
      <c r="E31" s="709"/>
      <c r="F31" s="709"/>
      <c r="G31" s="709"/>
      <c r="H31" s="626"/>
      <c r="I31" s="22"/>
      <c r="K31" s="287"/>
    </row>
    <row r="32" spans="2:15">
      <c r="B32" s="538" t="s">
        <v>377</v>
      </c>
      <c r="C32" s="537">
        <f>250000+100000+50000+50000+250000</f>
        <v>700000</v>
      </c>
      <c r="D32" s="537">
        <v>0</v>
      </c>
      <c r="E32" s="537">
        <f>100000+100000</f>
        <v>200000</v>
      </c>
      <c r="F32" s="537">
        <v>0</v>
      </c>
      <c r="G32" s="536">
        <f>SUM(C32:F32)</f>
        <v>900000</v>
      </c>
      <c r="I32" s="22"/>
    </row>
    <row r="33" spans="2:11">
      <c r="B33" s="563" t="s">
        <v>376</v>
      </c>
      <c r="C33" s="564">
        <f>122150.26+44620.28+230389.47</f>
        <v>397160.01</v>
      </c>
      <c r="D33" s="564">
        <f>217067.76+136753.68+85322.16+225289.68+146813.52</f>
        <v>811246.8</v>
      </c>
      <c r="E33" s="564">
        <f>121528.9+254806.86+380127.67+450248.65</f>
        <v>1206712.08</v>
      </c>
      <c r="F33" s="564">
        <f>176470.56+243571.44+295742.79+129546.51</f>
        <v>845331.3</v>
      </c>
      <c r="G33" s="565">
        <f>SUM(C33:F33)</f>
        <v>3260450.1900000004</v>
      </c>
      <c r="I33" s="22"/>
    </row>
    <row r="34" spans="2:11" ht="15.75" thickBot="1">
      <c r="B34" s="563" t="s">
        <v>465</v>
      </c>
      <c r="C34" s="564">
        <v>0</v>
      </c>
      <c r="D34" s="564">
        <v>700000</v>
      </c>
      <c r="E34" s="564">
        <v>0</v>
      </c>
      <c r="F34" s="564">
        <v>0</v>
      </c>
      <c r="G34" s="565">
        <f>SUM(C34:F34)</f>
        <v>700000</v>
      </c>
      <c r="I34" s="22"/>
    </row>
    <row r="35" spans="2:11" s="22" customFormat="1" ht="30" customHeight="1" thickBot="1">
      <c r="B35" s="595" t="s">
        <v>441</v>
      </c>
      <c r="C35" s="524">
        <f>SUM(C32:C34)</f>
        <v>1097160.01</v>
      </c>
      <c r="D35" s="524">
        <f t="shared" ref="D35:G35" si="7">SUM(D32:D34)</f>
        <v>1511246.8</v>
      </c>
      <c r="E35" s="524">
        <f t="shared" si="7"/>
        <v>1406712.08</v>
      </c>
      <c r="F35" s="524">
        <f t="shared" si="7"/>
        <v>845331.3</v>
      </c>
      <c r="G35" s="524">
        <f t="shared" si="7"/>
        <v>4860450.1900000004</v>
      </c>
      <c r="H35" s="623"/>
      <c r="K35" s="284"/>
    </row>
    <row r="36" spans="2:11" ht="18" customHeight="1">
      <c r="B36" s="3"/>
      <c r="C36" s="3"/>
      <c r="D36" s="3"/>
      <c r="E36" s="3"/>
      <c r="F36" s="3"/>
      <c r="G36" s="3"/>
      <c r="H36" s="627"/>
      <c r="I36" s="22"/>
    </row>
    <row r="37" spans="2:11" ht="18" customHeight="1">
      <c r="B37" s="3"/>
      <c r="C37" s="3"/>
      <c r="D37" s="3"/>
      <c r="E37" s="3"/>
      <c r="F37" s="3"/>
      <c r="G37" s="3"/>
      <c r="H37" s="627"/>
      <c r="I37" s="22"/>
    </row>
    <row r="38" spans="2:11" s="568" customFormat="1" ht="30" customHeight="1" thickBot="1">
      <c r="B38" s="710" t="s">
        <v>440</v>
      </c>
      <c r="C38" s="710"/>
      <c r="D38" s="710"/>
      <c r="E38" s="710"/>
      <c r="F38" s="710"/>
      <c r="G38" s="710"/>
      <c r="H38" s="626"/>
      <c r="K38" s="287"/>
    </row>
    <row r="39" spans="2:11">
      <c r="B39" s="538" t="s">
        <v>375</v>
      </c>
      <c r="C39" s="537"/>
      <c r="D39" s="537">
        <f>689850</f>
        <v>689850</v>
      </c>
      <c r="E39" s="537">
        <v>0</v>
      </c>
      <c r="F39" s="537">
        <v>0</v>
      </c>
      <c r="G39" s="536">
        <f t="shared" ref="G39:G50" si="8">SUM(C39:F39)</f>
        <v>689850</v>
      </c>
    </row>
    <row r="40" spans="2:11">
      <c r="B40" s="535" t="s">
        <v>375</v>
      </c>
      <c r="C40" s="533"/>
      <c r="D40" s="533">
        <f>398953.8</f>
        <v>398953.8</v>
      </c>
      <c r="E40" s="534">
        <v>0</v>
      </c>
      <c r="F40" s="533"/>
      <c r="G40" s="532">
        <f t="shared" si="8"/>
        <v>398953.8</v>
      </c>
    </row>
    <row r="41" spans="2:11">
      <c r="B41" s="535" t="s">
        <v>375</v>
      </c>
      <c r="C41" s="533">
        <f>122500+60258.69</f>
        <v>182758.69</v>
      </c>
      <c r="D41" s="533">
        <f>306142.87-122500-60258.69</f>
        <v>123384.18</v>
      </c>
      <c r="E41" s="534">
        <v>0</v>
      </c>
      <c r="F41" s="533">
        <v>0</v>
      </c>
      <c r="G41" s="532">
        <f t="shared" si="8"/>
        <v>306142.87</v>
      </c>
    </row>
    <row r="42" spans="2:11">
      <c r="B42" s="535" t="s">
        <v>374</v>
      </c>
      <c r="C42" s="534">
        <f>70233.3+150000</f>
        <v>220233.3</v>
      </c>
      <c r="D42" s="534">
        <f>552503.7-228000-150000-80000-80000</f>
        <v>14503.699999999953</v>
      </c>
      <c r="E42" s="534">
        <f>1078.78+228000-4217.97+80000</f>
        <v>304860.81</v>
      </c>
      <c r="F42" s="534">
        <f>227509.3+4217.97+80000</f>
        <v>311727.27</v>
      </c>
      <c r="G42" s="532">
        <f t="shared" si="8"/>
        <v>851325.08</v>
      </c>
    </row>
    <row r="43" spans="2:11">
      <c r="B43" s="535" t="s">
        <v>374</v>
      </c>
      <c r="C43" s="534">
        <v>180698.55</v>
      </c>
      <c r="D43" s="533">
        <v>0</v>
      </c>
      <c r="E43" s="534">
        <v>0</v>
      </c>
      <c r="F43" s="534">
        <v>0</v>
      </c>
      <c r="G43" s="532">
        <f t="shared" si="8"/>
        <v>180698.55</v>
      </c>
    </row>
    <row r="44" spans="2:11">
      <c r="B44" s="535" t="s">
        <v>374</v>
      </c>
      <c r="C44" s="533">
        <v>42306.6</v>
      </c>
      <c r="D44" s="533">
        <v>0</v>
      </c>
      <c r="E44" s="534">
        <v>0</v>
      </c>
      <c r="F44" s="533">
        <v>0</v>
      </c>
      <c r="G44" s="532">
        <f t="shared" si="8"/>
        <v>42306.6</v>
      </c>
    </row>
    <row r="45" spans="2:11">
      <c r="B45" s="535" t="s">
        <v>371</v>
      </c>
      <c r="C45" s="533">
        <v>226227.75</v>
      </c>
      <c r="D45" s="533">
        <v>0</v>
      </c>
      <c r="E45" s="534">
        <v>0</v>
      </c>
      <c r="F45" s="533">
        <v>0</v>
      </c>
      <c r="G45" s="532">
        <f t="shared" si="8"/>
        <v>226227.75</v>
      </c>
    </row>
    <row r="46" spans="2:11">
      <c r="B46" s="535" t="s">
        <v>372</v>
      </c>
      <c r="C46" s="534">
        <f>37800-36000</f>
        <v>1800</v>
      </c>
      <c r="D46" s="534">
        <v>0</v>
      </c>
      <c r="E46" s="533">
        <v>0</v>
      </c>
      <c r="F46" s="534">
        <v>0</v>
      </c>
      <c r="G46" s="532">
        <f t="shared" si="8"/>
        <v>1800</v>
      </c>
    </row>
    <row r="47" spans="2:11">
      <c r="B47" s="535" t="s">
        <v>373</v>
      </c>
      <c r="C47" s="534">
        <v>0</v>
      </c>
      <c r="D47" s="534">
        <v>0</v>
      </c>
      <c r="E47" s="534">
        <v>0</v>
      </c>
      <c r="F47" s="534">
        <v>243644.1</v>
      </c>
      <c r="G47" s="532">
        <f t="shared" si="8"/>
        <v>243644.1</v>
      </c>
    </row>
    <row r="48" spans="2:11">
      <c r="B48" s="535" t="s">
        <v>365</v>
      </c>
      <c r="C48" s="534">
        <v>0</v>
      </c>
      <c r="D48" s="534">
        <v>0</v>
      </c>
      <c r="E48" s="534">
        <v>0</v>
      </c>
      <c r="F48" s="534">
        <v>224070</v>
      </c>
      <c r="G48" s="532">
        <f t="shared" si="8"/>
        <v>224070</v>
      </c>
    </row>
    <row r="49" spans="2:11">
      <c r="B49" s="535" t="s">
        <v>370</v>
      </c>
      <c r="C49" s="533">
        <v>0</v>
      </c>
      <c r="D49" s="533">
        <v>0</v>
      </c>
      <c r="E49" s="534">
        <v>14490</v>
      </c>
      <c r="F49" s="533">
        <v>0</v>
      </c>
      <c r="G49" s="532">
        <f t="shared" si="8"/>
        <v>14490</v>
      </c>
    </row>
    <row r="50" spans="2:11" ht="15.75" thickBot="1">
      <c r="B50" s="531" t="s">
        <v>369</v>
      </c>
      <c r="C50" s="529">
        <v>0</v>
      </c>
      <c r="D50" s="529">
        <v>0</v>
      </c>
      <c r="E50" s="530">
        <v>0</v>
      </c>
      <c r="F50" s="529">
        <v>21276.44</v>
      </c>
      <c r="G50" s="528">
        <f t="shared" si="8"/>
        <v>21276.44</v>
      </c>
    </row>
    <row r="51" spans="2:11" s="22" customFormat="1" ht="30" customHeight="1" thickBot="1">
      <c r="B51" s="594" t="s">
        <v>442</v>
      </c>
      <c r="C51" s="527">
        <f>SUM(C39:C50)</f>
        <v>854024.89</v>
      </c>
      <c r="D51" s="527">
        <f>SUM(D39:D50)</f>
        <v>1226691.68</v>
      </c>
      <c r="E51" s="527">
        <f>SUM(E39:E50)</f>
        <v>319350.81</v>
      </c>
      <c r="F51" s="527">
        <f>SUM(F39:F50)</f>
        <v>800717.80999999994</v>
      </c>
      <c r="G51" s="526">
        <f>SUM(G39:G50)</f>
        <v>3200785.19</v>
      </c>
      <c r="H51" s="623"/>
      <c r="I51" s="522"/>
      <c r="K51" s="284"/>
    </row>
    <row r="52" spans="2:11" ht="5.0999999999999996" customHeight="1" thickBot="1">
      <c r="B52" s="3"/>
      <c r="C52" s="3"/>
      <c r="D52" s="3"/>
      <c r="E52" s="3"/>
      <c r="F52" s="3"/>
      <c r="G52" s="3"/>
      <c r="H52" s="627"/>
      <c r="I52" s="22"/>
    </row>
    <row r="53" spans="2:11" s="22" customFormat="1" ht="39.950000000000003" customHeight="1" thickBot="1">
      <c r="B53" s="525" t="s">
        <v>18</v>
      </c>
      <c r="C53" s="524">
        <f>SUM(C51,C35)</f>
        <v>1951184.9</v>
      </c>
      <c r="D53" s="524">
        <f>SUM(D51,D35)</f>
        <v>2737938.48</v>
      </c>
      <c r="E53" s="524">
        <f>SUM(E51,E35)</f>
        <v>1726062.8900000001</v>
      </c>
      <c r="F53" s="524">
        <f>SUM(F51,F35)</f>
        <v>1646049.1099999999</v>
      </c>
      <c r="G53" s="523">
        <f>SUM(G51,G35)</f>
        <v>8061235.3800000008</v>
      </c>
      <c r="H53" s="623"/>
      <c r="I53" s="522"/>
      <c r="K53" s="284"/>
    </row>
    <row r="57" spans="2:11" s="614" customFormat="1" ht="30" customHeight="1" thickBot="1">
      <c r="B57" s="711" t="s">
        <v>459</v>
      </c>
      <c r="C57" s="711"/>
      <c r="D57" s="711"/>
      <c r="E57" s="711"/>
      <c r="F57" s="711"/>
      <c r="G57" s="711"/>
      <c r="H57" s="628"/>
      <c r="K57" s="635"/>
    </row>
    <row r="58" spans="2:11">
      <c r="B58" s="597" t="s">
        <v>448</v>
      </c>
      <c r="C58" s="598" t="s">
        <v>453</v>
      </c>
      <c r="D58" s="599">
        <v>45049</v>
      </c>
      <c r="E58" s="600">
        <v>934437</v>
      </c>
      <c r="F58" s="599">
        <v>45049</v>
      </c>
      <c r="G58" s="615">
        <v>290000</v>
      </c>
    </row>
    <row r="59" spans="2:11">
      <c r="B59" s="457" t="s">
        <v>446</v>
      </c>
      <c r="C59" s="601" t="s">
        <v>453</v>
      </c>
      <c r="D59" s="602">
        <v>45117</v>
      </c>
      <c r="E59" s="603"/>
      <c r="F59" s="602"/>
      <c r="G59" s="616">
        <v>6508.57</v>
      </c>
    </row>
    <row r="60" spans="2:11">
      <c r="B60" s="668" t="s">
        <v>446</v>
      </c>
      <c r="C60" s="669" t="s">
        <v>454</v>
      </c>
      <c r="D60" s="670">
        <v>45112</v>
      </c>
      <c r="E60" s="671"/>
      <c r="F60" s="670"/>
      <c r="G60" s="667">
        <v>3074.95</v>
      </c>
    </row>
    <row r="61" spans="2:11">
      <c r="B61" s="457" t="s">
        <v>460</v>
      </c>
      <c r="C61" s="604" t="s">
        <v>453</v>
      </c>
      <c r="D61" s="602">
        <v>45141</v>
      </c>
      <c r="E61" s="603"/>
      <c r="F61" s="602"/>
      <c r="G61" s="616">
        <v>48300.12</v>
      </c>
    </row>
    <row r="62" spans="2:11">
      <c r="B62" s="668" t="s">
        <v>448</v>
      </c>
      <c r="C62" s="669" t="s">
        <v>454</v>
      </c>
      <c r="D62" s="670">
        <v>45089</v>
      </c>
      <c r="E62" s="671"/>
      <c r="F62" s="670"/>
      <c r="G62" s="667">
        <f>237024.9-226227.75</f>
        <v>10797.149999999994</v>
      </c>
      <c r="I62" s="658" t="s">
        <v>461</v>
      </c>
    </row>
    <row r="63" spans="2:11">
      <c r="B63" s="668" t="s">
        <v>443</v>
      </c>
      <c r="C63" s="669" t="s">
        <v>454</v>
      </c>
      <c r="D63" s="670">
        <v>45132</v>
      </c>
      <c r="E63" s="671"/>
      <c r="F63" s="670"/>
      <c r="G63" s="667">
        <v>395.02</v>
      </c>
    </row>
    <row r="64" spans="2:11">
      <c r="B64" s="668" t="s">
        <v>449</v>
      </c>
      <c r="C64" s="669" t="s">
        <v>454</v>
      </c>
      <c r="D64" s="670">
        <v>45134</v>
      </c>
      <c r="E64" s="671"/>
      <c r="F64" s="670"/>
      <c r="G64" s="667">
        <v>20212.5</v>
      </c>
    </row>
    <row r="65" spans="2:11">
      <c r="B65" s="457" t="s">
        <v>460</v>
      </c>
      <c r="C65" s="604" t="s">
        <v>453</v>
      </c>
      <c r="D65" s="602">
        <v>45136</v>
      </c>
      <c r="E65" s="603"/>
      <c r="F65" s="602"/>
      <c r="G65" s="616">
        <v>75052.56</v>
      </c>
    </row>
    <row r="66" spans="2:11">
      <c r="B66" s="457" t="s">
        <v>449</v>
      </c>
      <c r="C66" s="604" t="s">
        <v>453</v>
      </c>
      <c r="D66" s="602">
        <v>45153</v>
      </c>
      <c r="E66" s="603"/>
      <c r="F66" s="602"/>
      <c r="G66" s="616">
        <v>33363.75</v>
      </c>
    </row>
    <row r="67" spans="2:11">
      <c r="B67" s="457" t="s">
        <v>452</v>
      </c>
      <c r="C67" s="604" t="s">
        <v>453</v>
      </c>
      <c r="D67" s="602">
        <v>45156</v>
      </c>
      <c r="E67" s="603"/>
      <c r="F67" s="602"/>
      <c r="G67" s="616">
        <v>6027</v>
      </c>
    </row>
    <row r="68" spans="2:11">
      <c r="B68" s="457" t="s">
        <v>450</v>
      </c>
      <c r="C68" s="604" t="s">
        <v>453</v>
      </c>
      <c r="D68" s="602">
        <v>45159</v>
      </c>
      <c r="E68" s="603"/>
      <c r="F68" s="602"/>
      <c r="G68" s="616">
        <v>2646</v>
      </c>
    </row>
    <row r="69" spans="2:11">
      <c r="B69" s="457" t="s">
        <v>451</v>
      </c>
      <c r="C69" s="604" t="s">
        <v>453</v>
      </c>
      <c r="D69" s="602">
        <v>45157</v>
      </c>
      <c r="E69" s="603"/>
      <c r="F69" s="602"/>
      <c r="G69" s="616">
        <v>3864</v>
      </c>
    </row>
    <row r="70" spans="2:11">
      <c r="B70" s="457" t="s">
        <v>452</v>
      </c>
      <c r="C70" s="604" t="s">
        <v>453</v>
      </c>
      <c r="D70" s="602">
        <v>45157</v>
      </c>
      <c r="E70" s="603"/>
      <c r="F70" s="602"/>
      <c r="G70" s="616">
        <v>1470</v>
      </c>
    </row>
    <row r="71" spans="2:11">
      <c r="B71" s="457" t="s">
        <v>452</v>
      </c>
      <c r="C71" s="604" t="s">
        <v>453</v>
      </c>
      <c r="D71" s="602">
        <v>45157</v>
      </c>
      <c r="E71" s="603"/>
      <c r="F71" s="602"/>
      <c r="G71" s="616">
        <v>260.39999999999998</v>
      </c>
    </row>
    <row r="72" spans="2:11">
      <c r="B72" s="457" t="s">
        <v>451</v>
      </c>
      <c r="C72" s="604" t="s">
        <v>453</v>
      </c>
      <c r="D72" s="602">
        <v>45156</v>
      </c>
      <c r="E72" s="603"/>
      <c r="F72" s="602"/>
      <c r="G72" s="616">
        <v>1146.02</v>
      </c>
    </row>
    <row r="73" spans="2:11">
      <c r="B73" s="457" t="s">
        <v>446</v>
      </c>
      <c r="C73" s="604" t="s">
        <v>453</v>
      </c>
      <c r="D73" s="602">
        <v>45156</v>
      </c>
      <c r="E73" s="603"/>
      <c r="F73" s="602"/>
      <c r="G73" s="616">
        <v>4927.8599999999997</v>
      </c>
    </row>
    <row r="74" spans="2:11" ht="15.75" thickBot="1">
      <c r="B74" s="454" t="s">
        <v>344</v>
      </c>
      <c r="C74" s="605" t="s">
        <v>453</v>
      </c>
      <c r="D74" s="606">
        <v>45160</v>
      </c>
      <c r="E74" s="607"/>
      <c r="F74" s="606"/>
      <c r="G74" s="617">
        <v>72000</v>
      </c>
    </row>
    <row r="75" spans="2:11" s="191" customFormat="1" ht="24.95" customHeight="1" thickBot="1">
      <c r="B75" s="609"/>
      <c r="C75" s="610"/>
      <c r="D75" s="611"/>
      <c r="E75" s="612"/>
      <c r="F75" s="611"/>
      <c r="G75" s="618">
        <f>SUM(G58:G74)</f>
        <v>580045.90000000014</v>
      </c>
      <c r="H75" s="117"/>
      <c r="I75" s="613"/>
      <c r="K75" s="632"/>
    </row>
    <row r="76" spans="2:11">
      <c r="B76" s="4"/>
      <c r="D76" s="596"/>
      <c r="F76" s="596"/>
    </row>
  </sheetData>
  <mergeCells count="5">
    <mergeCell ref="F3:G3"/>
    <mergeCell ref="B24:G24"/>
    <mergeCell ref="B31:G31"/>
    <mergeCell ref="B38:G38"/>
    <mergeCell ref="B57:G57"/>
  </mergeCells>
  <printOptions horizontalCentered="1"/>
  <pageMargins left="0" right="0" top="1.58" bottom="0" header="0.39" footer="0"/>
  <pageSetup paperSize="9" scale="70" orientation="portrait" r:id="rId1"/>
  <headerFooter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B2:AM76"/>
  <sheetViews>
    <sheetView zoomScaleNormal="100" zoomScaleSheetLayoutView="100" workbookViewId="0">
      <pane xSplit="2" ySplit="11" topLeftCell="C24" activePane="bottomRight" state="frozen"/>
      <selection pane="topRight" activeCell="C1" sqref="C1"/>
      <selection pane="bottomLeft" activeCell="A12" sqref="A12"/>
      <selection pane="bottomRight" activeCell="D22" sqref="D22"/>
    </sheetView>
  </sheetViews>
  <sheetFormatPr defaultColWidth="9.140625" defaultRowHeight="15"/>
  <cols>
    <col min="1" max="1" width="9.140625" style="3"/>
    <col min="2" max="2" width="60.85546875" style="2" customWidth="1"/>
    <col min="3" max="6" width="15.85546875" style="281" customWidth="1"/>
    <col min="7" max="7" width="15.85546875" style="521" customWidth="1"/>
    <col min="8" max="8" width="4.7109375" style="623" bestFit="1" customWidth="1"/>
    <col min="9" max="9" width="12.7109375" style="522" bestFit="1" customWidth="1"/>
    <col min="10" max="10" width="13.7109375" style="22" bestFit="1" customWidth="1"/>
    <col min="11" max="11" width="11.85546875" style="284" bestFit="1" customWidth="1"/>
    <col min="12" max="13" width="9.28515625" style="22" bestFit="1" customWidth="1"/>
    <col min="14" max="15" width="9.140625" style="22"/>
    <col min="16" max="16384" width="9.140625" style="3"/>
  </cols>
  <sheetData>
    <row r="2" spans="2:39" s="21" customFormat="1" ht="23.25" customHeight="1">
      <c r="B2" s="21" t="s">
        <v>279</v>
      </c>
      <c r="D2" s="192"/>
      <c r="E2" s="580"/>
      <c r="F2" s="192" t="s">
        <v>352</v>
      </c>
      <c r="G2" s="580"/>
      <c r="H2" s="117"/>
      <c r="I2" s="192"/>
      <c r="K2" s="304"/>
    </row>
    <row r="3" spans="2:39" ht="13.9" customHeight="1">
      <c r="B3" s="4" t="s">
        <v>351</v>
      </c>
      <c r="E3" s="579"/>
      <c r="F3" s="712"/>
      <c r="G3" s="712"/>
    </row>
    <row r="4" spans="2:39">
      <c r="B4" s="3" t="s">
        <v>350</v>
      </c>
      <c r="E4" s="437"/>
      <c r="F4" s="369" t="s">
        <v>6</v>
      </c>
      <c r="G4" s="437">
        <f ca="1">TODAY()</f>
        <v>45298</v>
      </c>
    </row>
    <row r="5" spans="2:39">
      <c r="B5" s="3" t="s">
        <v>23</v>
      </c>
      <c r="E5" s="369"/>
      <c r="F5" s="370" t="s">
        <v>5</v>
      </c>
      <c r="G5" s="369"/>
    </row>
    <row r="6" spans="2:39" ht="18" customHeight="1">
      <c r="B6" s="6"/>
      <c r="E6" s="270"/>
      <c r="F6" s="270"/>
      <c r="G6" s="270"/>
    </row>
    <row r="7" spans="2:39" ht="15.75">
      <c r="B7" s="6" t="s">
        <v>349</v>
      </c>
      <c r="E7" s="314"/>
      <c r="F7" s="368" t="s">
        <v>3</v>
      </c>
      <c r="G7" s="664">
        <f>G27</f>
        <v>3910743.6494999994</v>
      </c>
    </row>
    <row r="8" spans="2:39">
      <c r="B8" s="4" t="s">
        <v>348</v>
      </c>
      <c r="E8" s="438"/>
      <c r="F8" s="367" t="s">
        <v>236</v>
      </c>
      <c r="G8" s="438">
        <f ca="1">G4</f>
        <v>45298</v>
      </c>
    </row>
    <row r="9" spans="2:39" ht="15.75">
      <c r="B9" s="4" t="s">
        <v>347</v>
      </c>
      <c r="C9" s="37"/>
      <c r="D9" s="37"/>
      <c r="E9" s="37"/>
      <c r="F9" s="37"/>
      <c r="G9" s="280"/>
    </row>
    <row r="10" spans="2:39" ht="6.75" customHeight="1" thickBot="1">
      <c r="B10" s="4"/>
      <c r="C10" s="37"/>
      <c r="D10" s="37"/>
      <c r="E10" s="37"/>
      <c r="F10" s="37"/>
      <c r="G10" s="280"/>
    </row>
    <row r="11" spans="2:39" s="22" customFormat="1" ht="45" customHeight="1" thickBot="1">
      <c r="B11" s="137" t="s">
        <v>119</v>
      </c>
      <c r="C11" s="366" t="s">
        <v>385</v>
      </c>
      <c r="D11" s="366" t="s">
        <v>384</v>
      </c>
      <c r="E11" s="366" t="s">
        <v>383</v>
      </c>
      <c r="F11" s="366" t="s">
        <v>382</v>
      </c>
      <c r="G11" s="478" t="s">
        <v>12</v>
      </c>
      <c r="H11" s="623"/>
      <c r="I11" s="522"/>
      <c r="K11" s="28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20.100000000000001" customHeight="1">
      <c r="B12" s="548" t="s">
        <v>462</v>
      </c>
      <c r="C12" s="547">
        <v>1300000</v>
      </c>
      <c r="D12" s="547">
        <v>2300000</v>
      </c>
      <c r="E12" s="547">
        <v>1500000</v>
      </c>
      <c r="F12" s="547">
        <v>1500000</v>
      </c>
      <c r="G12" s="546">
        <f t="shared" ref="G12:G19" si="0">SUM(C12:F12)</f>
        <v>6600000</v>
      </c>
      <c r="J12" s="9"/>
      <c r="K12" s="631"/>
      <c r="L12" s="9"/>
      <c r="M12" s="9"/>
      <c r="N12" s="9"/>
      <c r="O12" s="9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</row>
    <row r="13" spans="2:39" ht="20.100000000000001" customHeight="1">
      <c r="B13" s="545" t="s">
        <v>343</v>
      </c>
      <c r="C13" s="544">
        <f>'Al Muhanad Variation 27-08-223'!$G$12</f>
        <v>2120317</v>
      </c>
      <c r="D13" s="544">
        <f>'Al Muhanad Variation 27-08-223'!$G$27</f>
        <v>2464754.8499999996</v>
      </c>
      <c r="E13" s="544">
        <f>'Al Muhanad Variation 27-08-223'!$G$35</f>
        <v>67678.94</v>
      </c>
      <c r="F13" s="544">
        <f>'Al Muhanad Variation 27-08-223'!$G$42</f>
        <v>149134</v>
      </c>
      <c r="G13" s="543">
        <f t="shared" si="0"/>
        <v>4801884.79</v>
      </c>
      <c r="I13" s="621">
        <f>C13-'Al Muhanad Variation 27-08-223'!G12</f>
        <v>0</v>
      </c>
      <c r="J13" s="621">
        <f>D13-'Al Muhanad Variation 27-08-223'!G27</f>
        <v>0</v>
      </c>
      <c r="K13" s="632">
        <f>E13-'Al Muhanad Variation 27-08-223'!G35</f>
        <v>0</v>
      </c>
      <c r="L13" s="621">
        <f>F13-'Al Muhanad Variation 27-08-223'!G42</f>
        <v>0</v>
      </c>
      <c r="M13" s="621">
        <f>G13-'Al Muhanad Variation 27-08-223'!G44</f>
        <v>0</v>
      </c>
      <c r="N13" s="522"/>
      <c r="O13" s="522"/>
      <c r="P13" s="37"/>
    </row>
    <row r="14" spans="2:39" s="19" customFormat="1" ht="20.100000000000001" customHeight="1">
      <c r="B14" s="655" t="s">
        <v>381</v>
      </c>
      <c r="C14" s="656">
        <f>SUM(C12:C13)</f>
        <v>3420317</v>
      </c>
      <c r="D14" s="656">
        <f>SUM(D12:D13)</f>
        <v>4764754.8499999996</v>
      </c>
      <c r="E14" s="656">
        <f>SUM(E12:E13)</f>
        <v>1567678.94</v>
      </c>
      <c r="F14" s="656">
        <f>SUM(F12:F13)</f>
        <v>1649134</v>
      </c>
      <c r="G14" s="543">
        <f t="shared" si="0"/>
        <v>11401884.789999999</v>
      </c>
      <c r="H14" s="657">
        <f>G14-SUM(C12:F13)</f>
        <v>0</v>
      </c>
      <c r="I14" s="196"/>
      <c r="J14" s="196"/>
      <c r="K14" s="286"/>
      <c r="L14" s="194"/>
      <c r="M14" s="194"/>
      <c r="N14" s="194"/>
      <c r="O14" s="194"/>
    </row>
    <row r="15" spans="2:39" s="355" customFormat="1" ht="20.100000000000001" customHeight="1" thickBot="1">
      <c r="B15" s="639" t="s">
        <v>457</v>
      </c>
      <c r="C15" s="640">
        <f>-C14*10%</f>
        <v>-342031.7</v>
      </c>
      <c r="D15" s="640">
        <f>-D14*10%</f>
        <v>-476475.48499999999</v>
      </c>
      <c r="E15" s="641">
        <f>-E14*0%</f>
        <v>0</v>
      </c>
      <c r="F15" s="641">
        <f>-F14*0%</f>
        <v>0</v>
      </c>
      <c r="G15" s="642">
        <f t="shared" si="0"/>
        <v>-818507.18500000006</v>
      </c>
      <c r="H15" s="624"/>
      <c r="I15" s="357">
        <f>+G15*5%</f>
        <v>-40925.359250000009</v>
      </c>
      <c r="J15" s="633">
        <f>+I15+G15</f>
        <v>-859432.54425000004</v>
      </c>
      <c r="L15" s="589"/>
      <c r="M15" s="589"/>
      <c r="N15" s="589"/>
      <c r="O15" s="589"/>
    </row>
    <row r="16" spans="2:39" s="539" customFormat="1" ht="20.100000000000001" customHeight="1" thickBot="1">
      <c r="B16" s="584" t="s">
        <v>379</v>
      </c>
      <c r="C16" s="585">
        <f>SUM(C14:C15)</f>
        <v>3078285.3</v>
      </c>
      <c r="D16" s="585">
        <f>SUM(D14:D15)</f>
        <v>4288279.3649999993</v>
      </c>
      <c r="E16" s="585">
        <f>SUM(E14:E15)</f>
        <v>1567678.94</v>
      </c>
      <c r="F16" s="585">
        <f>SUM(F14:F15)</f>
        <v>1649134</v>
      </c>
      <c r="G16" s="586">
        <f t="shared" si="0"/>
        <v>10583377.604999999</v>
      </c>
      <c r="H16" s="630">
        <f>G16-SUM(C14:F15)</f>
        <v>0</v>
      </c>
      <c r="I16" s="522"/>
      <c r="J16" s="590"/>
      <c r="L16" s="591"/>
      <c r="M16" s="591"/>
      <c r="N16" s="591"/>
      <c r="O16" s="591"/>
    </row>
    <row r="17" spans="2:15" ht="20.100000000000001" customHeight="1" thickBot="1">
      <c r="B17" s="581" t="s">
        <v>342</v>
      </c>
      <c r="C17" s="582">
        <f>C16*5%</f>
        <v>153914.26499999998</v>
      </c>
      <c r="D17" s="582">
        <f>D16*5%</f>
        <v>214413.96824999998</v>
      </c>
      <c r="E17" s="582">
        <f>E16*5%</f>
        <v>78383.947</v>
      </c>
      <c r="F17" s="582">
        <f>F16*5%</f>
        <v>82456.700000000012</v>
      </c>
      <c r="G17" s="583">
        <f t="shared" si="0"/>
        <v>529168.88024999993</v>
      </c>
      <c r="H17" s="623">
        <f>G17-(SUM(C16:F16)*5%)</f>
        <v>0</v>
      </c>
      <c r="J17" s="84"/>
    </row>
    <row r="18" spans="2:15" s="19" customFormat="1" ht="20.100000000000001" customHeight="1" thickBot="1">
      <c r="B18" s="576" t="s">
        <v>378</v>
      </c>
      <c r="C18" s="494">
        <f>SUM(C16:C17)</f>
        <v>3232199.5649999999</v>
      </c>
      <c r="D18" s="494">
        <f>SUM(D16:D17)</f>
        <v>4502693.3332499992</v>
      </c>
      <c r="E18" s="494">
        <f>SUM(E16:E17)</f>
        <v>1646062.8869999999</v>
      </c>
      <c r="F18" s="494">
        <f>SUM(F16:F17)</f>
        <v>1731590.7</v>
      </c>
      <c r="G18" s="577">
        <f t="shared" si="0"/>
        <v>11112546.485249998</v>
      </c>
      <c r="H18" s="623">
        <f>G18-SUM(C16:F17)</f>
        <v>0</v>
      </c>
      <c r="I18" s="522"/>
      <c r="J18" s="194"/>
      <c r="K18" s="286"/>
      <c r="L18" s="194"/>
      <c r="M18" s="194"/>
      <c r="N18" s="194"/>
      <c r="O18" s="194"/>
    </row>
    <row r="19" spans="2:15" s="342" customFormat="1" ht="20.100000000000001" customHeight="1">
      <c r="B19" s="572" t="s">
        <v>24</v>
      </c>
      <c r="C19" s="573">
        <f>-(250000+100000+50000+122150.26+44620.28+230389.47+50000+250000)</f>
        <v>-1097160.01</v>
      </c>
      <c r="D19" s="573">
        <f>-(217067.76+136753.68+85322.16+225289.68+146813.52+700000)</f>
        <v>-1511246.8</v>
      </c>
      <c r="E19" s="574">
        <f>-(100000+100000+121528.9+254806.86+380127.67+450248.65)</f>
        <v>-1406712.08</v>
      </c>
      <c r="F19" s="573">
        <f>-(176470.56+243571.44+295742.79+129546.51)</f>
        <v>-845331.3</v>
      </c>
      <c r="G19" s="575">
        <f t="shared" si="0"/>
        <v>-4860450.1900000004</v>
      </c>
      <c r="H19" s="625"/>
      <c r="I19" s="522"/>
      <c r="J19" s="592"/>
      <c r="K19" s="344"/>
      <c r="L19" s="592"/>
      <c r="M19" s="592"/>
      <c r="N19" s="592"/>
      <c r="O19" s="592"/>
    </row>
    <row r="20" spans="2:15" s="342" customFormat="1" ht="20.100000000000001" customHeight="1" thickBot="1">
      <c r="B20" s="549" t="s">
        <v>436</v>
      </c>
      <c r="C20" s="550">
        <f>-SUM(C39:C50)</f>
        <v>-521266.19999999995</v>
      </c>
      <c r="D20" s="550">
        <f>-SUM(D39:D50)</f>
        <v>-1947450.3699999999</v>
      </c>
      <c r="E20" s="551">
        <f>-SUM(E39:E50)</f>
        <v>-15568.78</v>
      </c>
      <c r="F20" s="550">
        <f>-SUM(F39:F50)</f>
        <v>-716499.84</v>
      </c>
      <c r="G20" s="552">
        <f>SUM(C20:F20)</f>
        <v>-3200785.1899999995</v>
      </c>
      <c r="H20" s="625">
        <f>G20+G51</f>
        <v>0</v>
      </c>
      <c r="I20" s="522"/>
      <c r="J20" s="592"/>
      <c r="K20" s="344"/>
      <c r="L20" s="592"/>
      <c r="M20" s="592"/>
      <c r="N20" s="592"/>
      <c r="O20" s="592"/>
    </row>
    <row r="21" spans="2:15" s="649" customFormat="1" ht="20.100000000000001" customHeight="1" thickBot="1">
      <c r="B21" s="644" t="s">
        <v>458</v>
      </c>
      <c r="C21" s="645">
        <f>SUM(C19:C20)</f>
        <v>-1618426.21</v>
      </c>
      <c r="D21" s="645">
        <f t="shared" ref="D21:G21" si="1">SUM(D19:D20)</f>
        <v>-3458697.17</v>
      </c>
      <c r="E21" s="646">
        <f t="shared" si="1"/>
        <v>-1422280.86</v>
      </c>
      <c r="F21" s="645">
        <f t="shared" si="1"/>
        <v>-1561831.1400000001</v>
      </c>
      <c r="G21" s="643">
        <f t="shared" si="1"/>
        <v>-8061235.3799999999</v>
      </c>
      <c r="H21" s="629"/>
      <c r="I21" s="196"/>
      <c r="J21" s="647"/>
      <c r="K21" s="648"/>
      <c r="L21" s="647"/>
      <c r="M21" s="647"/>
      <c r="N21" s="647"/>
      <c r="O21" s="647"/>
    </row>
    <row r="22" spans="2:15" s="22" customFormat="1" ht="24.95" customHeight="1" thickBot="1">
      <c r="B22" s="542" t="s">
        <v>437</v>
      </c>
      <c r="C22" s="541">
        <f>C18+C21</f>
        <v>1613773.355</v>
      </c>
      <c r="D22" s="541">
        <f t="shared" ref="D22:G22" si="2">D18+D21</f>
        <v>1043996.1632499993</v>
      </c>
      <c r="E22" s="541">
        <f t="shared" si="2"/>
        <v>223782.02699999977</v>
      </c>
      <c r="F22" s="541">
        <f>F18+F21</f>
        <v>169759.55999999982</v>
      </c>
      <c r="G22" s="540">
        <f t="shared" si="2"/>
        <v>3051311.1052499982</v>
      </c>
      <c r="H22" s="623">
        <f>G18-(G35+G51)-G22</f>
        <v>0</v>
      </c>
      <c r="I22" s="621">
        <f>C22-SUM(C18:C20)</f>
        <v>0</v>
      </c>
      <c r="J22" s="621">
        <f t="shared" ref="J22:M22" si="3">D22-SUM(D18:D20)</f>
        <v>0</v>
      </c>
      <c r="K22" s="632">
        <f t="shared" si="3"/>
        <v>0</v>
      </c>
      <c r="L22" s="621">
        <f t="shared" si="3"/>
        <v>0</v>
      </c>
      <c r="M22" s="621">
        <f t="shared" si="3"/>
        <v>0</v>
      </c>
    </row>
    <row r="23" spans="2:15" s="22" customFormat="1" ht="24.95" customHeight="1">
      <c r="B23" s="566"/>
      <c r="C23" s="567"/>
      <c r="D23" s="567"/>
      <c r="E23" s="567"/>
      <c r="F23" s="567"/>
      <c r="G23" s="567"/>
      <c r="H23" s="623">
        <f>G22-SUM(C18:F18,C21:F21)</f>
        <v>0</v>
      </c>
      <c r="I23" s="621">
        <f>C22-(C12+C13+C15+C17+C19+C20)</f>
        <v>0</v>
      </c>
      <c r="J23" s="621">
        <f t="shared" ref="J23:M23" si="4">D22-(D12+D13+D15+D17+D19+D20)</f>
        <v>0</v>
      </c>
      <c r="K23" s="632">
        <f t="shared" si="4"/>
        <v>0</v>
      </c>
      <c r="L23" s="621">
        <f t="shared" si="4"/>
        <v>0</v>
      </c>
      <c r="M23" s="621">
        <f t="shared" si="4"/>
        <v>0</v>
      </c>
    </row>
    <row r="24" spans="2:15" s="568" customFormat="1" ht="30" customHeight="1" thickBot="1">
      <c r="B24" s="710" t="s">
        <v>439</v>
      </c>
      <c r="C24" s="710"/>
      <c r="D24" s="710"/>
      <c r="E24" s="710"/>
      <c r="F24" s="710"/>
      <c r="G24" s="710"/>
      <c r="H24" s="626"/>
      <c r="K24" s="287"/>
    </row>
    <row r="25" spans="2:15" s="355" customFormat="1" ht="20.100000000000001" customHeight="1">
      <c r="B25" s="650" t="s">
        <v>438</v>
      </c>
      <c r="C25" s="651">
        <f>-((C15*0.05)+C15)</f>
        <v>359133.28500000003</v>
      </c>
      <c r="D25" s="651">
        <f>-((D15*0.05)+D15)</f>
        <v>500299.25925</v>
      </c>
      <c r="E25" s="651">
        <v>0</v>
      </c>
      <c r="F25" s="651">
        <v>0</v>
      </c>
      <c r="G25" s="652">
        <f>SUM(C25:F25)</f>
        <v>859432.54425000004</v>
      </c>
      <c r="H25" s="624">
        <f>G25+G15+I15</f>
        <v>0</v>
      </c>
      <c r="I25" s="588"/>
      <c r="J25" s="589"/>
      <c r="K25" s="357"/>
      <c r="L25" s="589"/>
      <c r="M25" s="589"/>
      <c r="N25" s="589"/>
      <c r="O25" s="589"/>
    </row>
    <row r="26" spans="2:15" s="355" customFormat="1" ht="20.100000000000001" customHeight="1" thickBot="1">
      <c r="B26" s="653" t="s">
        <v>437</v>
      </c>
      <c r="C26" s="654">
        <f>C22</f>
        <v>1613773.355</v>
      </c>
      <c r="D26" s="654">
        <f t="shared" ref="D26:F26" si="5">D22</f>
        <v>1043996.1632499993</v>
      </c>
      <c r="E26" s="654">
        <f t="shared" si="5"/>
        <v>223782.02699999977</v>
      </c>
      <c r="F26" s="654">
        <f t="shared" si="5"/>
        <v>169759.55999999982</v>
      </c>
      <c r="G26" s="528">
        <f>SUM(C26:F26)</f>
        <v>3051311.1052499991</v>
      </c>
      <c r="H26" s="624">
        <f>G26-SUM(C22:F22)</f>
        <v>0</v>
      </c>
      <c r="I26" s="588"/>
      <c r="J26" s="589"/>
      <c r="K26" s="357"/>
      <c r="L26" s="589"/>
      <c r="M26" s="589"/>
      <c r="N26" s="589"/>
      <c r="O26" s="589"/>
    </row>
    <row r="27" spans="2:15" s="22" customFormat="1" ht="30" customHeight="1" thickBot="1">
      <c r="B27" s="595" t="s">
        <v>360</v>
      </c>
      <c r="C27" s="524">
        <f>SUM(C25:C26)</f>
        <v>1972906.6400000001</v>
      </c>
      <c r="D27" s="524">
        <f t="shared" ref="D27:G27" si="6">SUM(D25:D26)</f>
        <v>1544295.4224999994</v>
      </c>
      <c r="E27" s="524">
        <f t="shared" si="6"/>
        <v>223782.02699999977</v>
      </c>
      <c r="F27" s="524">
        <f t="shared" si="6"/>
        <v>169759.55999999982</v>
      </c>
      <c r="G27" s="523">
        <f t="shared" si="6"/>
        <v>3910743.6494999994</v>
      </c>
      <c r="H27" s="623">
        <f>G27-SUM(C25:F26)</f>
        <v>0</v>
      </c>
      <c r="I27" s="622">
        <f>C27-(C25+C26)</f>
        <v>0</v>
      </c>
      <c r="J27" s="622">
        <f>D27-(D25+D26)</f>
        <v>0</v>
      </c>
      <c r="K27" s="634">
        <f>E27-(E25+E26)</f>
        <v>0</v>
      </c>
      <c r="L27" s="622">
        <f>F27-(F25+F26)</f>
        <v>0</v>
      </c>
      <c r="M27" s="622">
        <f>G27-(G25+G26)</f>
        <v>0</v>
      </c>
    </row>
    <row r="28" spans="2:15" s="570" customFormat="1" ht="24.95" customHeight="1">
      <c r="B28" s="569"/>
      <c r="H28" s="623">
        <f>SUM(C27:F27)-G27</f>
        <v>0</v>
      </c>
      <c r="N28" s="593"/>
      <c r="O28" s="590"/>
    </row>
    <row r="29" spans="2:15" s="539" customFormat="1" ht="24.95" customHeight="1">
      <c r="B29" s="553"/>
      <c r="C29" s="554"/>
      <c r="D29" s="554"/>
      <c r="E29" s="554"/>
      <c r="F29" s="554"/>
      <c r="G29" s="555"/>
      <c r="H29" s="630"/>
      <c r="I29" s="22"/>
      <c r="J29" s="591"/>
      <c r="K29" s="633"/>
      <c r="L29" s="591"/>
      <c r="M29" s="591"/>
      <c r="N29" s="591"/>
      <c r="O29" s="591"/>
    </row>
    <row r="30" spans="2:15" s="539" customFormat="1" ht="24.95" customHeight="1">
      <c r="B30" s="553"/>
      <c r="C30" s="554"/>
      <c r="D30" s="554"/>
      <c r="E30" s="554"/>
      <c r="F30" s="554"/>
      <c r="G30" s="555"/>
      <c r="H30" s="630"/>
      <c r="I30" s="22"/>
      <c r="J30" s="591"/>
      <c r="K30" s="633"/>
      <c r="L30" s="591"/>
      <c r="M30" s="591"/>
      <c r="N30" s="591"/>
      <c r="O30" s="591"/>
    </row>
    <row r="31" spans="2:15" s="568" customFormat="1" ht="30" customHeight="1" thickBot="1">
      <c r="B31" s="709" t="s">
        <v>386</v>
      </c>
      <c r="C31" s="709"/>
      <c r="D31" s="709"/>
      <c r="E31" s="709"/>
      <c r="F31" s="709"/>
      <c r="G31" s="709"/>
      <c r="H31" s="626"/>
      <c r="I31" s="22"/>
      <c r="K31" s="287"/>
    </row>
    <row r="32" spans="2:15">
      <c r="B32" s="538" t="s">
        <v>377</v>
      </c>
      <c r="C32" s="537">
        <f>250000+100000+50000+50000+250000</f>
        <v>700000</v>
      </c>
      <c r="D32" s="537">
        <v>0</v>
      </c>
      <c r="E32" s="537">
        <f>100000+100000</f>
        <v>200000</v>
      </c>
      <c r="F32" s="537">
        <v>0</v>
      </c>
      <c r="G32" s="536">
        <f>SUM(C32:F32)</f>
        <v>900000</v>
      </c>
      <c r="I32" s="22"/>
    </row>
    <row r="33" spans="2:11">
      <c r="B33" s="563" t="s">
        <v>376</v>
      </c>
      <c r="C33" s="564">
        <f>122150.26+44620.28+230389.47</f>
        <v>397160.01</v>
      </c>
      <c r="D33" s="564">
        <f>217067.76+136753.68+85322.16+225289.68+146813.52</f>
        <v>811246.8</v>
      </c>
      <c r="E33" s="564">
        <f>121528.9+254806.86+380127.67+450248.65</f>
        <v>1206712.08</v>
      </c>
      <c r="F33" s="564">
        <f>176470.56+243571.44+295742.79+129546.51</f>
        <v>845331.3</v>
      </c>
      <c r="G33" s="565">
        <f>SUM(C33:F33)</f>
        <v>3260450.1900000004</v>
      </c>
      <c r="I33" s="22"/>
    </row>
    <row r="34" spans="2:11" ht="15.75" thickBot="1">
      <c r="B34" s="563" t="s">
        <v>465</v>
      </c>
      <c r="C34" s="564">
        <v>0</v>
      </c>
      <c r="D34" s="564">
        <v>700000</v>
      </c>
      <c r="E34" s="564">
        <v>0</v>
      </c>
      <c r="F34" s="564">
        <v>0</v>
      </c>
      <c r="G34" s="565">
        <f>SUM(C34:F34)</f>
        <v>700000</v>
      </c>
      <c r="I34" s="22"/>
    </row>
    <row r="35" spans="2:11" s="22" customFormat="1" ht="30" customHeight="1" thickBot="1">
      <c r="B35" s="595" t="s">
        <v>441</v>
      </c>
      <c r="C35" s="524">
        <f>SUM(C32:C34)</f>
        <v>1097160.01</v>
      </c>
      <c r="D35" s="524">
        <f t="shared" ref="D35:G35" si="7">SUM(D32:D34)</f>
        <v>1511246.8</v>
      </c>
      <c r="E35" s="524">
        <f t="shared" si="7"/>
        <v>1406712.08</v>
      </c>
      <c r="F35" s="524">
        <f t="shared" si="7"/>
        <v>845331.3</v>
      </c>
      <c r="G35" s="524">
        <f t="shared" si="7"/>
        <v>4860450.1900000004</v>
      </c>
      <c r="H35" s="623"/>
      <c r="K35" s="284"/>
    </row>
    <row r="36" spans="2:11" ht="18" customHeight="1">
      <c r="B36" s="3"/>
      <c r="C36" s="3"/>
      <c r="D36" s="3"/>
      <c r="E36" s="3"/>
      <c r="F36" s="3"/>
      <c r="G36" s="3"/>
      <c r="H36" s="627"/>
      <c r="I36" s="22"/>
    </row>
    <row r="37" spans="2:11" ht="18" customHeight="1">
      <c r="B37" s="3"/>
      <c r="C37" s="3"/>
      <c r="D37" s="3"/>
      <c r="E37" s="3"/>
      <c r="F37" s="3"/>
      <c r="G37" s="3"/>
      <c r="H37" s="627"/>
      <c r="I37" s="22"/>
    </row>
    <row r="38" spans="2:11" s="568" customFormat="1" ht="30" customHeight="1" thickBot="1">
      <c r="B38" s="710" t="s">
        <v>440</v>
      </c>
      <c r="C38" s="710"/>
      <c r="D38" s="710"/>
      <c r="E38" s="710"/>
      <c r="F38" s="710"/>
      <c r="G38" s="710"/>
      <c r="H38" s="626"/>
      <c r="K38" s="287"/>
    </row>
    <row r="39" spans="2:11">
      <c r="B39" s="538" t="s">
        <v>375</v>
      </c>
      <c r="C39" s="537">
        <v>0</v>
      </c>
      <c r="D39" s="537">
        <v>689850</v>
      </c>
      <c r="E39" s="537">
        <v>0</v>
      </c>
      <c r="F39" s="537">
        <v>0</v>
      </c>
      <c r="G39" s="536">
        <f>SUM(C39:F39)</f>
        <v>689850</v>
      </c>
    </row>
    <row r="40" spans="2:11">
      <c r="B40" s="535" t="s">
        <v>375</v>
      </c>
      <c r="C40" s="533">
        <v>0</v>
      </c>
      <c r="D40" s="533">
        <v>398953.8</v>
      </c>
      <c r="E40" s="534">
        <v>0</v>
      </c>
      <c r="F40" s="533">
        <v>0</v>
      </c>
      <c r="G40" s="532">
        <f t="shared" ref="G40:G50" si="8">SUM(C40:F40)</f>
        <v>398953.8</v>
      </c>
    </row>
    <row r="41" spans="2:11">
      <c r="B41" s="535" t="s">
        <v>375</v>
      </c>
      <c r="C41" s="533">
        <v>0</v>
      </c>
      <c r="D41" s="533">
        <v>306142.87</v>
      </c>
      <c r="E41" s="534">
        <v>0</v>
      </c>
      <c r="F41" s="533">
        <v>0</v>
      </c>
      <c r="G41" s="532">
        <f t="shared" si="8"/>
        <v>306142.87</v>
      </c>
    </row>
    <row r="42" spans="2:11">
      <c r="B42" s="535" t="s">
        <v>374</v>
      </c>
      <c r="C42" s="534">
        <v>70233.3</v>
      </c>
      <c r="D42" s="534">
        <v>552503.69999999995</v>
      </c>
      <c r="E42" s="534">
        <v>1078.78</v>
      </c>
      <c r="F42" s="534">
        <v>227509.3</v>
      </c>
      <c r="G42" s="532">
        <f t="shared" si="8"/>
        <v>851325.08000000007</v>
      </c>
    </row>
    <row r="43" spans="2:11">
      <c r="B43" s="535" t="s">
        <v>374</v>
      </c>
      <c r="C43" s="534">
        <v>180698.55</v>
      </c>
      <c r="D43" s="533">
        <v>0</v>
      </c>
      <c r="E43" s="534">
        <v>0</v>
      </c>
      <c r="F43" s="534">
        <v>0</v>
      </c>
      <c r="G43" s="532">
        <f t="shared" si="8"/>
        <v>180698.55</v>
      </c>
    </row>
    <row r="44" spans="2:11">
      <c r="B44" s="535" t="s">
        <v>374</v>
      </c>
      <c r="C44" s="533">
        <v>42306.6</v>
      </c>
      <c r="D44" s="533">
        <v>0</v>
      </c>
      <c r="E44" s="534">
        <v>0</v>
      </c>
      <c r="F44" s="533">
        <v>0</v>
      </c>
      <c r="G44" s="532">
        <f t="shared" si="8"/>
        <v>42306.6</v>
      </c>
    </row>
    <row r="45" spans="2:11">
      <c r="B45" s="535" t="s">
        <v>371</v>
      </c>
      <c r="C45" s="533">
        <v>226227.75</v>
      </c>
      <c r="D45" s="533">
        <v>0</v>
      </c>
      <c r="E45" s="534">
        <v>0</v>
      </c>
      <c r="F45" s="533">
        <v>0</v>
      </c>
      <c r="G45" s="532">
        <f t="shared" si="8"/>
        <v>226227.75</v>
      </c>
    </row>
    <row r="46" spans="2:11">
      <c r="B46" s="535" t="s">
        <v>372</v>
      </c>
      <c r="C46" s="534">
        <f>37800-36000</f>
        <v>1800</v>
      </c>
      <c r="D46" s="534">
        <v>0</v>
      </c>
      <c r="E46" s="533">
        <v>0</v>
      </c>
      <c r="F46" s="534">
        <v>0</v>
      </c>
      <c r="G46" s="532">
        <f t="shared" si="8"/>
        <v>1800</v>
      </c>
    </row>
    <row r="47" spans="2:11">
      <c r="B47" s="535" t="s">
        <v>373</v>
      </c>
      <c r="C47" s="534">
        <v>0</v>
      </c>
      <c r="D47" s="534">
        <v>0</v>
      </c>
      <c r="E47" s="534">
        <v>0</v>
      </c>
      <c r="F47" s="534">
        <v>243644.1</v>
      </c>
      <c r="G47" s="532">
        <f t="shared" si="8"/>
        <v>243644.1</v>
      </c>
    </row>
    <row r="48" spans="2:11">
      <c r="B48" s="535" t="s">
        <v>365</v>
      </c>
      <c r="C48" s="534">
        <v>0</v>
      </c>
      <c r="D48" s="534">
        <v>0</v>
      </c>
      <c r="E48" s="534">
        <v>0</v>
      </c>
      <c r="F48" s="534">
        <v>224070</v>
      </c>
      <c r="G48" s="532">
        <f t="shared" si="8"/>
        <v>224070</v>
      </c>
    </row>
    <row r="49" spans="2:11">
      <c r="B49" s="535" t="s">
        <v>370</v>
      </c>
      <c r="C49" s="533">
        <v>0</v>
      </c>
      <c r="D49" s="533">
        <v>0</v>
      </c>
      <c r="E49" s="534">
        <v>14490</v>
      </c>
      <c r="F49" s="533">
        <v>0</v>
      </c>
      <c r="G49" s="532">
        <f t="shared" si="8"/>
        <v>14490</v>
      </c>
    </row>
    <row r="50" spans="2:11" ht="15.75" thickBot="1">
      <c r="B50" s="531" t="s">
        <v>369</v>
      </c>
      <c r="C50" s="529">
        <v>0</v>
      </c>
      <c r="D50" s="529">
        <v>0</v>
      </c>
      <c r="E50" s="530">
        <v>0</v>
      </c>
      <c r="F50" s="529">
        <v>21276.44</v>
      </c>
      <c r="G50" s="528">
        <f t="shared" si="8"/>
        <v>21276.44</v>
      </c>
    </row>
    <row r="51" spans="2:11" s="22" customFormat="1" ht="30" customHeight="1" thickBot="1">
      <c r="B51" s="594" t="s">
        <v>442</v>
      </c>
      <c r="C51" s="527">
        <f>SUM(C39:C50)</f>
        <v>521266.19999999995</v>
      </c>
      <c r="D51" s="527">
        <f>SUM(D39:D50)</f>
        <v>1947450.3699999999</v>
      </c>
      <c r="E51" s="527">
        <f>SUM(E39:E50)</f>
        <v>15568.78</v>
      </c>
      <c r="F51" s="527">
        <f>SUM(F39:F50)</f>
        <v>716499.84</v>
      </c>
      <c r="G51" s="526">
        <f>SUM(G39:G50)</f>
        <v>3200785.19</v>
      </c>
      <c r="H51" s="623"/>
      <c r="I51" s="522"/>
      <c r="K51" s="284"/>
    </row>
    <row r="52" spans="2:11" ht="5.0999999999999996" customHeight="1" thickBot="1">
      <c r="B52" s="3"/>
      <c r="C52" s="3"/>
      <c r="D52" s="3"/>
      <c r="E52" s="3"/>
      <c r="F52" s="3"/>
      <c r="G52" s="3"/>
      <c r="H52" s="627"/>
      <c r="I52" s="22"/>
    </row>
    <row r="53" spans="2:11" s="22" customFormat="1" ht="39.950000000000003" customHeight="1" thickBot="1">
      <c r="B53" s="525" t="s">
        <v>18</v>
      </c>
      <c r="C53" s="524">
        <f>SUM(C51,C35)</f>
        <v>1618426.21</v>
      </c>
      <c r="D53" s="524">
        <f>SUM(D51,D35)</f>
        <v>3458697.17</v>
      </c>
      <c r="E53" s="524">
        <f>SUM(E51,E35)</f>
        <v>1422280.86</v>
      </c>
      <c r="F53" s="524">
        <f>SUM(F51,F35)</f>
        <v>1561831.1400000001</v>
      </c>
      <c r="G53" s="523">
        <f>SUM(G51,G35)</f>
        <v>8061235.3800000008</v>
      </c>
      <c r="H53" s="623"/>
      <c r="I53" s="522"/>
      <c r="K53" s="284"/>
    </row>
    <row r="57" spans="2:11" s="614" customFormat="1" ht="30" customHeight="1" thickBot="1">
      <c r="B57" s="711" t="s">
        <v>459</v>
      </c>
      <c r="C57" s="711"/>
      <c r="D57" s="711"/>
      <c r="E57" s="711"/>
      <c r="F57" s="711"/>
      <c r="G57" s="711"/>
      <c r="H57" s="628"/>
      <c r="K57" s="635"/>
    </row>
    <row r="58" spans="2:11">
      <c r="B58" s="597" t="s">
        <v>448</v>
      </c>
      <c r="C58" s="598" t="s">
        <v>453</v>
      </c>
      <c r="D58" s="599">
        <v>45049</v>
      </c>
      <c r="E58" s="600">
        <v>934437</v>
      </c>
      <c r="F58" s="599">
        <v>45049</v>
      </c>
      <c r="G58" s="615">
        <v>290000</v>
      </c>
    </row>
    <row r="59" spans="2:11">
      <c r="B59" s="457" t="s">
        <v>446</v>
      </c>
      <c r="C59" s="601" t="s">
        <v>453</v>
      </c>
      <c r="D59" s="602">
        <v>45117</v>
      </c>
      <c r="E59" s="603"/>
      <c r="F59" s="602"/>
      <c r="G59" s="616">
        <v>6508.57</v>
      </c>
    </row>
    <row r="60" spans="2:11">
      <c r="B60" s="668" t="s">
        <v>446</v>
      </c>
      <c r="C60" s="669" t="s">
        <v>454</v>
      </c>
      <c r="D60" s="670">
        <v>45112</v>
      </c>
      <c r="E60" s="671"/>
      <c r="F60" s="670"/>
      <c r="G60" s="667">
        <v>3074.95</v>
      </c>
    </row>
    <row r="61" spans="2:11">
      <c r="B61" s="457" t="s">
        <v>460</v>
      </c>
      <c r="C61" s="604" t="s">
        <v>453</v>
      </c>
      <c r="D61" s="602">
        <v>45141</v>
      </c>
      <c r="E61" s="603"/>
      <c r="F61" s="602"/>
      <c r="G61" s="616">
        <v>48300.12</v>
      </c>
    </row>
    <row r="62" spans="2:11">
      <c r="B62" s="668" t="s">
        <v>448</v>
      </c>
      <c r="C62" s="669" t="s">
        <v>454</v>
      </c>
      <c r="D62" s="670">
        <v>45089</v>
      </c>
      <c r="E62" s="671"/>
      <c r="F62" s="670"/>
      <c r="G62" s="667">
        <f>237024.9-226227.75</f>
        <v>10797.149999999994</v>
      </c>
      <c r="I62" s="658" t="s">
        <v>461</v>
      </c>
    </row>
    <row r="63" spans="2:11">
      <c r="B63" s="668" t="s">
        <v>443</v>
      </c>
      <c r="C63" s="669" t="s">
        <v>454</v>
      </c>
      <c r="D63" s="670">
        <v>45132</v>
      </c>
      <c r="E63" s="671"/>
      <c r="F63" s="670"/>
      <c r="G63" s="667">
        <v>395.02</v>
      </c>
    </row>
    <row r="64" spans="2:11">
      <c r="B64" s="668" t="s">
        <v>449</v>
      </c>
      <c r="C64" s="669" t="s">
        <v>454</v>
      </c>
      <c r="D64" s="670">
        <v>45134</v>
      </c>
      <c r="E64" s="671"/>
      <c r="F64" s="670"/>
      <c r="G64" s="667">
        <v>20212.5</v>
      </c>
    </row>
    <row r="65" spans="2:11">
      <c r="B65" s="457" t="s">
        <v>460</v>
      </c>
      <c r="C65" s="604" t="s">
        <v>453</v>
      </c>
      <c r="D65" s="602">
        <v>45136</v>
      </c>
      <c r="E65" s="603"/>
      <c r="F65" s="602"/>
      <c r="G65" s="616">
        <v>75052.56</v>
      </c>
    </row>
    <row r="66" spans="2:11">
      <c r="B66" s="457" t="s">
        <v>449</v>
      </c>
      <c r="C66" s="604" t="s">
        <v>453</v>
      </c>
      <c r="D66" s="602">
        <v>45153</v>
      </c>
      <c r="E66" s="603"/>
      <c r="F66" s="602"/>
      <c r="G66" s="616">
        <v>33363.75</v>
      </c>
    </row>
    <row r="67" spans="2:11">
      <c r="B67" s="457" t="s">
        <v>452</v>
      </c>
      <c r="C67" s="604" t="s">
        <v>453</v>
      </c>
      <c r="D67" s="602">
        <v>45156</v>
      </c>
      <c r="E67" s="603"/>
      <c r="F67" s="602"/>
      <c r="G67" s="616">
        <v>6027</v>
      </c>
    </row>
    <row r="68" spans="2:11">
      <c r="B68" s="457" t="s">
        <v>450</v>
      </c>
      <c r="C68" s="604" t="s">
        <v>453</v>
      </c>
      <c r="D68" s="602">
        <v>45159</v>
      </c>
      <c r="E68" s="603"/>
      <c r="F68" s="602"/>
      <c r="G68" s="616">
        <v>2646</v>
      </c>
    </row>
    <row r="69" spans="2:11">
      <c r="B69" s="457" t="s">
        <v>451</v>
      </c>
      <c r="C69" s="604" t="s">
        <v>453</v>
      </c>
      <c r="D69" s="602">
        <v>45157</v>
      </c>
      <c r="E69" s="603"/>
      <c r="F69" s="602"/>
      <c r="G69" s="616">
        <v>3864</v>
      </c>
    </row>
    <row r="70" spans="2:11">
      <c r="B70" s="457" t="s">
        <v>452</v>
      </c>
      <c r="C70" s="604" t="s">
        <v>453</v>
      </c>
      <c r="D70" s="602">
        <v>45157</v>
      </c>
      <c r="E70" s="603"/>
      <c r="F70" s="602"/>
      <c r="G70" s="616">
        <v>1470</v>
      </c>
    </row>
    <row r="71" spans="2:11">
      <c r="B71" s="457" t="s">
        <v>452</v>
      </c>
      <c r="C71" s="604" t="s">
        <v>453</v>
      </c>
      <c r="D71" s="602">
        <v>45157</v>
      </c>
      <c r="E71" s="603"/>
      <c r="F71" s="602"/>
      <c r="G71" s="616">
        <v>260.39999999999998</v>
      </c>
    </row>
    <row r="72" spans="2:11">
      <c r="B72" s="457" t="s">
        <v>451</v>
      </c>
      <c r="C72" s="604" t="s">
        <v>453</v>
      </c>
      <c r="D72" s="602">
        <v>45156</v>
      </c>
      <c r="E72" s="603"/>
      <c r="F72" s="602"/>
      <c r="G72" s="616">
        <v>1146.02</v>
      </c>
    </row>
    <row r="73" spans="2:11">
      <c r="B73" s="457" t="s">
        <v>446</v>
      </c>
      <c r="C73" s="604" t="s">
        <v>453</v>
      </c>
      <c r="D73" s="602">
        <v>45156</v>
      </c>
      <c r="E73" s="603"/>
      <c r="F73" s="602"/>
      <c r="G73" s="616">
        <v>4927.8599999999997</v>
      </c>
    </row>
    <row r="74" spans="2:11" ht="15.75" thickBot="1">
      <c r="B74" s="454" t="s">
        <v>344</v>
      </c>
      <c r="C74" s="605" t="s">
        <v>453</v>
      </c>
      <c r="D74" s="606">
        <v>45160</v>
      </c>
      <c r="E74" s="607"/>
      <c r="F74" s="606"/>
      <c r="G74" s="617">
        <v>72000</v>
      </c>
    </row>
    <row r="75" spans="2:11" s="191" customFormat="1" ht="24.95" customHeight="1" thickBot="1">
      <c r="B75" s="609"/>
      <c r="C75" s="610"/>
      <c r="D75" s="611"/>
      <c r="E75" s="612"/>
      <c r="F75" s="611"/>
      <c r="G75" s="618">
        <f>SUM(G58:G74)</f>
        <v>580045.90000000014</v>
      </c>
      <c r="H75" s="117"/>
      <c r="I75" s="613"/>
      <c r="K75" s="632"/>
    </row>
    <row r="76" spans="2:11">
      <c r="B76" s="4"/>
      <c r="D76" s="596"/>
      <c r="F76" s="596"/>
    </row>
  </sheetData>
  <mergeCells count="5">
    <mergeCell ref="F3:G3"/>
    <mergeCell ref="B38:G38"/>
    <mergeCell ref="B31:G31"/>
    <mergeCell ref="B24:G24"/>
    <mergeCell ref="B57:G57"/>
  </mergeCells>
  <printOptions horizontalCentered="1"/>
  <pageMargins left="0" right="0" top="1.58" bottom="0" header="0.39" footer="0"/>
  <pageSetup paperSize="9" scale="70" orientation="portrait" r:id="rId1"/>
  <headerFooter>
    <oddHeader>&amp;C&amp;G</oddHeader>
    <oddFooter>&amp;C&amp;G</oddFooter>
  </headerFooter>
  <ignoredErrors>
    <ignoredError sqref="C15:G15 C17:H17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AM75"/>
  <sheetViews>
    <sheetView zoomScaleNormal="100" zoomScaleSheetLayoutView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C12" sqref="C12"/>
    </sheetView>
  </sheetViews>
  <sheetFormatPr defaultColWidth="9.140625" defaultRowHeight="15"/>
  <cols>
    <col min="1" max="1" width="9.140625" style="3"/>
    <col min="2" max="2" width="60.85546875" style="2" customWidth="1"/>
    <col min="3" max="6" width="15.85546875" style="281" customWidth="1"/>
    <col min="7" max="7" width="15.85546875" style="521" customWidth="1"/>
    <col min="8" max="8" width="4.7109375" style="623" bestFit="1" customWidth="1"/>
    <col min="9" max="9" width="12.7109375" style="522" bestFit="1" customWidth="1"/>
    <col min="10" max="10" width="13.7109375" style="22" bestFit="1" customWidth="1"/>
    <col min="11" max="11" width="11.85546875" style="284" bestFit="1" customWidth="1"/>
    <col min="12" max="13" width="9.28515625" style="22" bestFit="1" customWidth="1"/>
    <col min="14" max="15" width="9.140625" style="22"/>
    <col min="16" max="16384" width="9.140625" style="3"/>
  </cols>
  <sheetData>
    <row r="2" spans="2:39" s="21" customFormat="1" ht="23.25" customHeight="1">
      <c r="B2" s="21" t="s">
        <v>279</v>
      </c>
      <c r="D2" s="192"/>
      <c r="E2" s="620"/>
      <c r="F2" s="192" t="s">
        <v>352</v>
      </c>
      <c r="G2" s="620"/>
      <c r="H2" s="117"/>
      <c r="I2" s="192"/>
      <c r="K2" s="304"/>
    </row>
    <row r="3" spans="2:39" ht="13.9" customHeight="1">
      <c r="B3" s="4" t="s">
        <v>351</v>
      </c>
      <c r="E3" s="619"/>
      <c r="F3" s="712"/>
      <c r="G3" s="712"/>
    </row>
    <row r="4" spans="2:39">
      <c r="B4" s="3" t="s">
        <v>350</v>
      </c>
      <c r="E4" s="437"/>
      <c r="F4" s="369" t="s">
        <v>6</v>
      </c>
      <c r="G4" s="437">
        <f ca="1">TODAY()</f>
        <v>45298</v>
      </c>
    </row>
    <row r="5" spans="2:39">
      <c r="B5" s="3" t="s">
        <v>23</v>
      </c>
      <c r="E5" s="369"/>
      <c r="F5" s="370" t="s">
        <v>5</v>
      </c>
      <c r="G5" s="369"/>
    </row>
    <row r="6" spans="2:39" ht="18" customHeight="1">
      <c r="B6" s="6"/>
      <c r="E6" s="270"/>
      <c r="F6" s="270"/>
      <c r="G6" s="270"/>
    </row>
    <row r="7" spans="2:39">
      <c r="B7" s="6" t="s">
        <v>349</v>
      </c>
      <c r="E7" s="314"/>
      <c r="F7" s="368" t="s">
        <v>3</v>
      </c>
      <c r="G7" s="314">
        <f>G22</f>
        <v>3751311.1052499982</v>
      </c>
    </row>
    <row r="8" spans="2:39">
      <c r="B8" s="4" t="s">
        <v>348</v>
      </c>
      <c r="E8" s="438"/>
      <c r="F8" s="367" t="s">
        <v>236</v>
      </c>
      <c r="G8" s="438">
        <f ca="1">G4</f>
        <v>45298</v>
      </c>
    </row>
    <row r="9" spans="2:39" ht="15.75">
      <c r="B9" s="4" t="s">
        <v>347</v>
      </c>
      <c r="C9" s="37"/>
      <c r="D9" s="37"/>
      <c r="E9" s="37"/>
      <c r="F9" s="37"/>
      <c r="G9" s="280"/>
    </row>
    <row r="10" spans="2:39" ht="6.75" customHeight="1" thickBot="1">
      <c r="B10" s="4"/>
      <c r="C10" s="37"/>
      <c r="D10" s="37"/>
      <c r="E10" s="37"/>
      <c r="F10" s="37"/>
      <c r="G10" s="280"/>
    </row>
    <row r="11" spans="2:39" s="22" customFormat="1" ht="45" customHeight="1" thickBot="1">
      <c r="B11" s="137" t="s">
        <v>119</v>
      </c>
      <c r="C11" s="366" t="s">
        <v>385</v>
      </c>
      <c r="D11" s="366" t="s">
        <v>384</v>
      </c>
      <c r="E11" s="366" t="s">
        <v>383</v>
      </c>
      <c r="F11" s="366" t="s">
        <v>382</v>
      </c>
      <c r="G11" s="478" t="s">
        <v>12</v>
      </c>
      <c r="H11" s="623"/>
      <c r="I11" s="522"/>
      <c r="K11" s="28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20.100000000000001" customHeight="1">
      <c r="B12" s="548" t="s">
        <v>456</v>
      </c>
      <c r="C12" s="547">
        <v>1300000</v>
      </c>
      <c r="D12" s="547">
        <v>2300000</v>
      </c>
      <c r="E12" s="547">
        <v>1500000</v>
      </c>
      <c r="F12" s="547">
        <v>1500000</v>
      </c>
      <c r="G12" s="546">
        <f t="shared" ref="G12:G20" si="0">SUM(C12:F12)</f>
        <v>6600000</v>
      </c>
      <c r="J12" s="9"/>
      <c r="K12" s="631"/>
      <c r="L12" s="9"/>
      <c r="M12" s="9"/>
      <c r="N12" s="9"/>
      <c r="O12" s="9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</row>
    <row r="13" spans="2:39" ht="20.100000000000001" customHeight="1">
      <c r="B13" s="545" t="s">
        <v>343</v>
      </c>
      <c r="C13" s="544">
        <f>'Al Muhanad Variation 27-08-223'!$G$12</f>
        <v>2120317</v>
      </c>
      <c r="D13" s="544">
        <f>'Al Muhanad Variation 27-08-223'!$G$27</f>
        <v>2464754.8499999996</v>
      </c>
      <c r="E13" s="544">
        <f>'Al Muhanad Variation 27-08-223'!$G$35</f>
        <v>67678.94</v>
      </c>
      <c r="F13" s="544">
        <f>'Al Muhanad Variation 27-08-223'!$G$42</f>
        <v>149134</v>
      </c>
      <c r="G13" s="543">
        <f t="shared" si="0"/>
        <v>4801884.79</v>
      </c>
      <c r="I13" s="621">
        <f>C13-'Al Muhanad Variation 27-08-223'!G12</f>
        <v>0</v>
      </c>
      <c r="J13" s="621">
        <f>D13-'Al Muhanad Variation 27-08-223'!G27</f>
        <v>0</v>
      </c>
      <c r="K13" s="632">
        <f>E13-'Al Muhanad Variation 27-08-223'!G35</f>
        <v>0</v>
      </c>
      <c r="L13" s="621">
        <f>F13-'Al Muhanad Variation 27-08-223'!G42</f>
        <v>0</v>
      </c>
      <c r="M13" s="621">
        <f>G13-'Al Muhanad Variation 27-08-223'!G44</f>
        <v>0</v>
      </c>
      <c r="N13" s="522"/>
      <c r="O13" s="522"/>
      <c r="P13" s="37"/>
    </row>
    <row r="14" spans="2:39" s="19" customFormat="1" ht="20.100000000000001" customHeight="1">
      <c r="B14" s="655" t="s">
        <v>381</v>
      </c>
      <c r="C14" s="656">
        <f>SUM(C12:C13)</f>
        <v>3420317</v>
      </c>
      <c r="D14" s="656">
        <f>SUM(D12:D13)</f>
        <v>4764754.8499999996</v>
      </c>
      <c r="E14" s="656">
        <f>SUM(E12:E13)</f>
        <v>1567678.94</v>
      </c>
      <c r="F14" s="656">
        <f>SUM(F12:F13)</f>
        <v>1649134</v>
      </c>
      <c r="G14" s="543">
        <f t="shared" si="0"/>
        <v>11401884.789999999</v>
      </c>
      <c r="H14" s="657">
        <f>G14-SUM(C12:F13)</f>
        <v>0</v>
      </c>
      <c r="I14" s="196"/>
      <c r="J14" s="196"/>
      <c r="K14" s="286"/>
      <c r="L14" s="194"/>
      <c r="M14" s="194"/>
      <c r="N14" s="194"/>
      <c r="O14" s="194"/>
    </row>
    <row r="15" spans="2:39" ht="20.100000000000001" customHeight="1" thickBot="1">
      <c r="B15" s="581" t="s">
        <v>342</v>
      </c>
      <c r="C15" s="582">
        <f>C14*5%</f>
        <v>171015.85</v>
      </c>
      <c r="D15" s="582">
        <f>D14*5%</f>
        <v>238237.74249999999</v>
      </c>
      <c r="E15" s="582">
        <f>E14*5%</f>
        <v>78383.947</v>
      </c>
      <c r="F15" s="582">
        <f>F14*5%</f>
        <v>82456.700000000012</v>
      </c>
      <c r="G15" s="583">
        <f t="shared" si="0"/>
        <v>570094.23950000003</v>
      </c>
      <c r="J15" s="84"/>
    </row>
    <row r="16" spans="2:39" s="19" customFormat="1" ht="20.100000000000001" customHeight="1" thickBot="1">
      <c r="B16" s="576" t="s">
        <v>378</v>
      </c>
      <c r="C16" s="494">
        <f>SUM(C14:C15)</f>
        <v>3591332.85</v>
      </c>
      <c r="D16" s="494">
        <f>SUM(D14:D15)</f>
        <v>5002992.5924999993</v>
      </c>
      <c r="E16" s="494">
        <f>SUM(E14:E15)</f>
        <v>1646062.8869999999</v>
      </c>
      <c r="F16" s="494">
        <f>SUM(F14:F15)</f>
        <v>1731590.7</v>
      </c>
      <c r="G16" s="577">
        <f t="shared" si="0"/>
        <v>11971979.029499998</v>
      </c>
      <c r="H16" s="623">
        <f>G16-SUM(C16:F16)</f>
        <v>0</v>
      </c>
      <c r="I16" s="522"/>
      <c r="J16" s="194"/>
      <c r="K16" s="286"/>
      <c r="L16" s="194"/>
      <c r="M16" s="194"/>
      <c r="N16" s="194"/>
      <c r="O16" s="194"/>
    </row>
    <row r="17" spans="2:15" s="355" customFormat="1" ht="20.100000000000001" customHeight="1" thickBot="1">
      <c r="B17" s="639" t="s">
        <v>380</v>
      </c>
      <c r="C17" s="640">
        <f>-C16*10%</f>
        <v>-359133.28500000003</v>
      </c>
      <c r="D17" s="640">
        <f>-D16*10%</f>
        <v>-500299.25924999994</v>
      </c>
      <c r="E17" s="641">
        <f>-E14*0%</f>
        <v>0</v>
      </c>
      <c r="F17" s="641">
        <f>-F14*0%</f>
        <v>0</v>
      </c>
      <c r="G17" s="642">
        <f t="shared" si="0"/>
        <v>-859432.54425000004</v>
      </c>
      <c r="H17" s="624"/>
      <c r="I17" s="522"/>
      <c r="J17" s="587"/>
      <c r="K17" s="357">
        <f>+G17*0.05</f>
        <v>-42971.627212500003</v>
      </c>
      <c r="L17" s="589"/>
      <c r="M17" s="589"/>
      <c r="N17" s="589"/>
      <c r="O17" s="589"/>
    </row>
    <row r="18" spans="2:15" s="539" customFormat="1" ht="20.100000000000001" customHeight="1" thickBot="1">
      <c r="B18" s="584" t="s">
        <v>379</v>
      </c>
      <c r="C18" s="585">
        <f>SUM(C16:C17)</f>
        <v>3232199.5649999999</v>
      </c>
      <c r="D18" s="585">
        <f>SUM(D16:D17)</f>
        <v>4502693.3332499992</v>
      </c>
      <c r="E18" s="585">
        <f>SUM(E16:E17)</f>
        <v>1646062.8869999999</v>
      </c>
      <c r="F18" s="585">
        <f>SUM(F16:F17)</f>
        <v>1731590.7</v>
      </c>
      <c r="G18" s="586">
        <f t="shared" si="0"/>
        <v>11112546.485249998</v>
      </c>
      <c r="H18" s="630"/>
      <c r="I18" s="522"/>
      <c r="J18" s="590"/>
      <c r="K18" s="633">
        <f>+K17+G17</f>
        <v>-902404.1714625</v>
      </c>
      <c r="L18" s="591"/>
      <c r="M18" s="591"/>
      <c r="N18" s="591"/>
      <c r="O18" s="591"/>
    </row>
    <row r="19" spans="2:15" s="342" customFormat="1" ht="20.100000000000001" customHeight="1">
      <c r="B19" s="572" t="s">
        <v>24</v>
      </c>
      <c r="C19" s="573">
        <f>-(797160.01+50000+250000)</f>
        <v>-1097160.01</v>
      </c>
      <c r="D19" s="573">
        <f>-(217067.76+136753.68+85322.16+225289.68+146813.52)</f>
        <v>-811246.8</v>
      </c>
      <c r="E19" s="574">
        <f>-(100000+100000+121528.9+254806.86+380127.67+450248.65)</f>
        <v>-1406712.08</v>
      </c>
      <c r="F19" s="573">
        <f>-(176470.56+243571.44+295742.79+129546.51)</f>
        <v>-845331.3</v>
      </c>
      <c r="G19" s="575">
        <f t="shared" si="0"/>
        <v>-4160450.1900000004</v>
      </c>
      <c r="H19" s="625"/>
      <c r="I19" s="522"/>
      <c r="J19" s="592"/>
      <c r="K19" s="344"/>
      <c r="L19" s="592"/>
      <c r="M19" s="592"/>
      <c r="N19" s="592"/>
      <c r="O19" s="592"/>
    </row>
    <row r="20" spans="2:15" s="342" customFormat="1" ht="20.100000000000001" customHeight="1" thickBot="1">
      <c r="B20" s="549" t="s">
        <v>436</v>
      </c>
      <c r="C20" s="550">
        <f>-SUM(C38:C49)</f>
        <v>-521266.19999999995</v>
      </c>
      <c r="D20" s="550">
        <f>-SUM(D38:D49)</f>
        <v>-1947450.3699999999</v>
      </c>
      <c r="E20" s="551">
        <f>-SUM(E38:E49)</f>
        <v>-15568.78</v>
      </c>
      <c r="F20" s="550">
        <f>-SUM(F38:F49)</f>
        <v>-716499.84</v>
      </c>
      <c r="G20" s="552">
        <f t="shared" si="0"/>
        <v>-3200785.1899999995</v>
      </c>
      <c r="H20" s="625">
        <f>G20+G50</f>
        <v>0</v>
      </c>
      <c r="I20" s="522"/>
      <c r="J20" s="592"/>
      <c r="K20" s="344"/>
      <c r="L20" s="592"/>
      <c r="M20" s="592"/>
      <c r="N20" s="592"/>
      <c r="O20" s="592"/>
    </row>
    <row r="21" spans="2:15" s="649" customFormat="1" ht="20.100000000000001" customHeight="1" thickBot="1">
      <c r="B21" s="644" t="s">
        <v>455</v>
      </c>
      <c r="C21" s="645">
        <f>SUM(C19:C20)</f>
        <v>-1618426.21</v>
      </c>
      <c r="D21" s="645">
        <f>SUM(D19:D20)</f>
        <v>-2758697.17</v>
      </c>
      <c r="E21" s="646">
        <f>SUM(E19:E20)</f>
        <v>-1422280.86</v>
      </c>
      <c r="F21" s="645">
        <f>SUM(F19:F20)</f>
        <v>-1561831.1400000001</v>
      </c>
      <c r="G21" s="643">
        <f>SUM(G19:G20)</f>
        <v>-7361235.3799999999</v>
      </c>
      <c r="H21" s="629">
        <f>SUM(C21:F21)-G21</f>
        <v>0</v>
      </c>
      <c r="I21" s="196"/>
      <c r="J21" s="647"/>
      <c r="K21" s="648"/>
      <c r="L21" s="647"/>
      <c r="M21" s="647"/>
      <c r="N21" s="647"/>
      <c r="O21" s="647"/>
    </row>
    <row r="22" spans="2:15" s="22" customFormat="1" ht="24.95" customHeight="1" thickBot="1">
      <c r="B22" s="542" t="s">
        <v>437</v>
      </c>
      <c r="C22" s="541">
        <f>C18+C21</f>
        <v>1613773.355</v>
      </c>
      <c r="D22" s="541">
        <f>D18+D21</f>
        <v>1743996.1632499993</v>
      </c>
      <c r="E22" s="541">
        <f>E18+E21</f>
        <v>223782.02699999977</v>
      </c>
      <c r="F22" s="541">
        <f>F18+F21</f>
        <v>169759.55999999982</v>
      </c>
      <c r="G22" s="540">
        <f>G18+G21</f>
        <v>3751311.1052499982</v>
      </c>
      <c r="H22" s="623">
        <f>G18-(G34+G50)-G22</f>
        <v>0</v>
      </c>
      <c r="I22" s="621">
        <f>C22-SUM(C18:C20)</f>
        <v>0</v>
      </c>
      <c r="J22" s="621">
        <f>D22-SUM(D18:D20)</f>
        <v>0</v>
      </c>
      <c r="K22" s="621">
        <f>E22-SUM(E18:E20)</f>
        <v>0</v>
      </c>
      <c r="L22" s="621">
        <f>F22-SUM(F18:F20)</f>
        <v>0</v>
      </c>
      <c r="M22" s="621">
        <f>G22-SUM(G18:G20)</f>
        <v>0</v>
      </c>
    </row>
    <row r="23" spans="2:15" s="22" customFormat="1" ht="24.95" customHeight="1">
      <c r="B23" s="566"/>
      <c r="C23" s="567"/>
      <c r="D23" s="567"/>
      <c r="E23" s="567"/>
      <c r="F23" s="567"/>
      <c r="G23" s="567"/>
      <c r="H23" s="623"/>
      <c r="I23" s="621">
        <f>C22-(C12+C13+C17+C15+C19+C20)</f>
        <v>0</v>
      </c>
      <c r="J23" s="621">
        <f>D22-(D12+D13+D17+D15+D19+D20)</f>
        <v>0</v>
      </c>
      <c r="K23" s="632">
        <f>E22-(E12+E13+E17+E15+E19+E20)</f>
        <v>0</v>
      </c>
      <c r="L23" s="621">
        <f>F22-(F12+F13+F17+F15+F19+F20)</f>
        <v>0</v>
      </c>
      <c r="M23" s="621">
        <f>G22-(G12+G13+G17+G15+G19+G20)</f>
        <v>0</v>
      </c>
    </row>
    <row r="24" spans="2:15" s="568" customFormat="1" ht="30" customHeight="1" thickBot="1">
      <c r="B24" s="710" t="s">
        <v>439</v>
      </c>
      <c r="C24" s="710"/>
      <c r="D24" s="710"/>
      <c r="E24" s="710"/>
      <c r="F24" s="710"/>
      <c r="G24" s="710"/>
      <c r="H24" s="626"/>
      <c r="K24" s="287"/>
    </row>
    <row r="25" spans="2:15" s="355" customFormat="1" ht="20.100000000000001" customHeight="1">
      <c r="B25" s="571" t="s">
        <v>437</v>
      </c>
      <c r="C25" s="578">
        <f>C22</f>
        <v>1613773.355</v>
      </c>
      <c r="D25" s="578">
        <f>D22</f>
        <v>1743996.1632499993</v>
      </c>
      <c r="E25" s="578">
        <f>E22</f>
        <v>223782.02699999977</v>
      </c>
      <c r="F25" s="578">
        <f>F22</f>
        <v>169759.55999999982</v>
      </c>
      <c r="G25" s="536">
        <f>SUM(C25:F25)</f>
        <v>3751311.1052499991</v>
      </c>
      <c r="H25" s="624">
        <f>G25-G22</f>
        <v>0</v>
      </c>
      <c r="I25" s="588"/>
      <c r="J25" s="589"/>
      <c r="K25" s="357"/>
      <c r="L25" s="589"/>
      <c r="M25" s="589"/>
      <c r="N25" s="589"/>
      <c r="O25" s="589"/>
    </row>
    <row r="26" spans="2:15" s="355" customFormat="1" ht="20.100000000000001" customHeight="1" thickBot="1">
      <c r="B26" s="636" t="s">
        <v>438</v>
      </c>
      <c r="C26" s="637">
        <f>-((C17))</f>
        <v>359133.28500000003</v>
      </c>
      <c r="D26" s="637">
        <f>-((D17))</f>
        <v>500299.25924999994</v>
      </c>
      <c r="E26" s="637">
        <v>0</v>
      </c>
      <c r="F26" s="637">
        <v>0</v>
      </c>
      <c r="G26" s="638">
        <f>SUM(C26:F26)</f>
        <v>859432.54425000004</v>
      </c>
      <c r="H26" s="624">
        <f>G26+G17</f>
        <v>0</v>
      </c>
      <c r="I26" s="588"/>
      <c r="J26" s="589"/>
      <c r="K26" s="357"/>
      <c r="L26" s="589"/>
      <c r="M26" s="589"/>
      <c r="N26" s="589"/>
      <c r="O26" s="589"/>
    </row>
    <row r="27" spans="2:15" s="22" customFormat="1" ht="30" customHeight="1" thickBot="1">
      <c r="B27" s="595" t="s">
        <v>360</v>
      </c>
      <c r="C27" s="524">
        <f>SUM(C25:C26)</f>
        <v>1972906.6400000001</v>
      </c>
      <c r="D27" s="524">
        <f>SUM(D25:D26)</f>
        <v>2244295.4224999994</v>
      </c>
      <c r="E27" s="524">
        <f>SUM(E25:E26)</f>
        <v>223782.02699999977</v>
      </c>
      <c r="F27" s="524">
        <f>SUM(F25:F26)</f>
        <v>169759.55999999982</v>
      </c>
      <c r="G27" s="523">
        <f>SUM(G25:G26)</f>
        <v>4610743.6494999994</v>
      </c>
      <c r="H27" s="623">
        <f>SUM(C27:F27)-G27</f>
        <v>0</v>
      </c>
      <c r="K27" s="284"/>
    </row>
    <row r="28" spans="2:15" s="570" customFormat="1" ht="24.95" customHeight="1">
      <c r="B28" s="569"/>
      <c r="H28" s="623">
        <f>SUM(C25:F26)-G27</f>
        <v>0</v>
      </c>
      <c r="I28" s="622">
        <f>C27-(C26+C25)</f>
        <v>0</v>
      </c>
      <c r="J28" s="622">
        <f>D27-(D26+D25)</f>
        <v>0</v>
      </c>
      <c r="K28" s="634">
        <f>E27-(E26+E25)</f>
        <v>0</v>
      </c>
      <c r="L28" s="622">
        <f>F27-(F26+F25)</f>
        <v>0</v>
      </c>
      <c r="M28" s="622">
        <f>G27-(G26+G25)</f>
        <v>0</v>
      </c>
      <c r="N28" s="593"/>
      <c r="O28" s="590"/>
    </row>
    <row r="29" spans="2:15" s="539" customFormat="1" ht="24.95" customHeight="1">
      <c r="B29" s="553"/>
      <c r="C29" s="554"/>
      <c r="D29" s="554"/>
      <c r="E29" s="554"/>
      <c r="F29" s="554"/>
      <c r="G29" s="555"/>
      <c r="H29" s="630"/>
      <c r="I29" s="22"/>
      <c r="J29" s="591"/>
      <c r="K29" s="633"/>
      <c r="L29" s="591"/>
      <c r="M29" s="591"/>
      <c r="N29" s="591"/>
      <c r="O29" s="591"/>
    </row>
    <row r="30" spans="2:15" s="539" customFormat="1" ht="24.95" customHeight="1">
      <c r="B30" s="553"/>
      <c r="C30" s="554"/>
      <c r="D30" s="554"/>
      <c r="E30" s="554"/>
      <c r="F30" s="554"/>
      <c r="G30" s="555"/>
      <c r="H30" s="630"/>
      <c r="I30" s="22"/>
      <c r="J30" s="591"/>
      <c r="K30" s="633"/>
      <c r="L30" s="591"/>
      <c r="M30" s="591"/>
      <c r="N30" s="591"/>
      <c r="O30" s="591"/>
    </row>
    <row r="31" spans="2:15" s="568" customFormat="1" ht="30" customHeight="1" thickBot="1">
      <c r="B31" s="709" t="s">
        <v>386</v>
      </c>
      <c r="C31" s="709"/>
      <c r="D31" s="709"/>
      <c r="E31" s="709"/>
      <c r="F31" s="709"/>
      <c r="G31" s="709"/>
      <c r="H31" s="626"/>
      <c r="I31" s="22"/>
      <c r="K31" s="287"/>
    </row>
    <row r="32" spans="2:15">
      <c r="B32" s="538" t="s">
        <v>377</v>
      </c>
      <c r="C32" s="537">
        <f>250000+100000+50000+50000+250000</f>
        <v>700000</v>
      </c>
      <c r="D32" s="537">
        <v>0</v>
      </c>
      <c r="E32" s="537">
        <f>100000+100000</f>
        <v>200000</v>
      </c>
      <c r="F32" s="537">
        <v>0</v>
      </c>
      <c r="G32" s="536">
        <f>SUM(C32:F32)</f>
        <v>900000</v>
      </c>
      <c r="I32" s="22"/>
    </row>
    <row r="33" spans="1:39" s="22" customFormat="1" ht="15.75" thickBot="1">
      <c r="A33" s="3"/>
      <c r="B33" s="563" t="s">
        <v>376</v>
      </c>
      <c r="C33" s="564">
        <f>122150.26+44620.28+230389.47</f>
        <v>397160.01</v>
      </c>
      <c r="D33" s="564">
        <f>217067.76+136753.68+85322.16+225289.68+146813.52</f>
        <v>811246.8</v>
      </c>
      <c r="E33" s="564">
        <f>121528.9+254806.86+380127.67+450248.65</f>
        <v>1206712.08</v>
      </c>
      <c r="F33" s="564">
        <f>176470.56+243571.44+295742.79+129546.51</f>
        <v>845331.3</v>
      </c>
      <c r="G33" s="565">
        <f>SUM(C33:F33)</f>
        <v>3260450.1900000004</v>
      </c>
      <c r="H33" s="623"/>
      <c r="K33" s="28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s="22" customFormat="1" ht="30" customHeight="1" thickBot="1">
      <c r="B34" s="595" t="s">
        <v>441</v>
      </c>
      <c r="C34" s="524">
        <f>SUM(C32:C33)</f>
        <v>1097160.01</v>
      </c>
      <c r="D34" s="524">
        <f>SUM(D32:D33)</f>
        <v>811246.8</v>
      </c>
      <c r="E34" s="524">
        <f>SUM(E32:E33)</f>
        <v>1406712.08</v>
      </c>
      <c r="F34" s="524">
        <f>SUM(F32:F33)</f>
        <v>845331.3</v>
      </c>
      <c r="G34" s="523">
        <f>SUM(G32:G33)</f>
        <v>4160450.1900000004</v>
      </c>
      <c r="H34" s="623"/>
      <c r="K34" s="284"/>
    </row>
    <row r="35" spans="1:39" s="22" customFormat="1" ht="18" customHeight="1">
      <c r="A35" s="3"/>
      <c r="B35" s="3"/>
      <c r="C35" s="3"/>
      <c r="D35" s="3"/>
      <c r="E35" s="3"/>
      <c r="F35" s="3"/>
      <c r="G35" s="3"/>
      <c r="H35" s="627"/>
      <c r="K35" s="28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s="22" customFormat="1" ht="18" customHeight="1">
      <c r="A36" s="3"/>
      <c r="B36" s="3"/>
      <c r="C36" s="3"/>
      <c r="D36" s="3"/>
      <c r="E36" s="3"/>
      <c r="F36" s="3"/>
      <c r="G36" s="3"/>
      <c r="H36" s="627"/>
      <c r="K36" s="28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s="568" customFormat="1" ht="30" customHeight="1" thickBot="1">
      <c r="B37" s="710" t="s">
        <v>440</v>
      </c>
      <c r="C37" s="710"/>
      <c r="D37" s="710"/>
      <c r="E37" s="710"/>
      <c r="F37" s="710"/>
      <c r="G37" s="710"/>
      <c r="H37" s="626"/>
      <c r="K37" s="287"/>
    </row>
    <row r="38" spans="1:39" s="22" customFormat="1">
      <c r="A38" s="3"/>
      <c r="B38" s="538" t="s">
        <v>375</v>
      </c>
      <c r="C38" s="537">
        <v>0</v>
      </c>
      <c r="D38" s="537">
        <v>689850</v>
      </c>
      <c r="E38" s="537">
        <v>0</v>
      </c>
      <c r="F38" s="537">
        <v>0</v>
      </c>
      <c r="G38" s="536">
        <f t="shared" ref="G38:G49" si="1">SUM(C38:F38)</f>
        <v>689850</v>
      </c>
      <c r="H38" s="623"/>
      <c r="I38" s="522"/>
      <c r="K38" s="28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s="22" customFormat="1">
      <c r="A39" s="3"/>
      <c r="B39" s="535" t="s">
        <v>375</v>
      </c>
      <c r="C39" s="533">
        <v>0</v>
      </c>
      <c r="D39" s="533">
        <v>398953.8</v>
      </c>
      <c r="E39" s="534">
        <v>0</v>
      </c>
      <c r="F39" s="533">
        <v>0</v>
      </c>
      <c r="G39" s="532">
        <f t="shared" si="1"/>
        <v>398953.8</v>
      </c>
      <c r="H39" s="623"/>
      <c r="I39" s="522"/>
      <c r="K39" s="28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s="22" customFormat="1">
      <c r="A40" s="3"/>
      <c r="B40" s="535" t="s">
        <v>375</v>
      </c>
      <c r="C40" s="533">
        <v>0</v>
      </c>
      <c r="D40" s="533">
        <v>306142.87</v>
      </c>
      <c r="E40" s="534">
        <v>0</v>
      </c>
      <c r="F40" s="533">
        <v>0</v>
      </c>
      <c r="G40" s="532">
        <f t="shared" si="1"/>
        <v>306142.87</v>
      </c>
      <c r="H40" s="623"/>
      <c r="I40" s="522"/>
      <c r="K40" s="28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s="22" customFormat="1">
      <c r="A41" s="3"/>
      <c r="B41" s="535" t="s">
        <v>374</v>
      </c>
      <c r="C41" s="534">
        <v>70233.3</v>
      </c>
      <c r="D41" s="534">
        <v>552503.69999999995</v>
      </c>
      <c r="E41" s="534">
        <v>1078.78</v>
      </c>
      <c r="F41" s="534">
        <v>227509.3</v>
      </c>
      <c r="G41" s="532">
        <f t="shared" si="1"/>
        <v>851325.08000000007</v>
      </c>
      <c r="H41" s="623"/>
      <c r="I41" s="522"/>
      <c r="K41" s="28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s="22" customFormat="1">
      <c r="A42" s="3"/>
      <c r="B42" s="535" t="s">
        <v>374</v>
      </c>
      <c r="C42" s="534">
        <v>180698.55</v>
      </c>
      <c r="D42" s="533">
        <v>0</v>
      </c>
      <c r="E42" s="534">
        <v>0</v>
      </c>
      <c r="F42" s="534">
        <v>0</v>
      </c>
      <c r="G42" s="532">
        <f t="shared" si="1"/>
        <v>180698.55</v>
      </c>
      <c r="H42" s="623"/>
      <c r="I42" s="522"/>
      <c r="K42" s="28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s="22" customFormat="1">
      <c r="A43" s="3"/>
      <c r="B43" s="535" t="s">
        <v>374</v>
      </c>
      <c r="C43" s="533">
        <v>42306.6</v>
      </c>
      <c r="D43" s="533">
        <v>0</v>
      </c>
      <c r="E43" s="534">
        <v>0</v>
      </c>
      <c r="F43" s="533">
        <v>0</v>
      </c>
      <c r="G43" s="532">
        <f t="shared" si="1"/>
        <v>42306.6</v>
      </c>
      <c r="H43" s="623"/>
      <c r="I43" s="522"/>
      <c r="K43" s="28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s="22" customFormat="1">
      <c r="A44" s="3"/>
      <c r="B44" s="535" t="s">
        <v>371</v>
      </c>
      <c r="C44" s="533">
        <v>226227.75</v>
      </c>
      <c r="D44" s="533">
        <v>0</v>
      </c>
      <c r="E44" s="534">
        <v>0</v>
      </c>
      <c r="F44" s="533">
        <v>0</v>
      </c>
      <c r="G44" s="532">
        <f t="shared" si="1"/>
        <v>226227.75</v>
      </c>
      <c r="H44" s="623"/>
      <c r="I44" s="522"/>
      <c r="K44" s="28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s="22" customFormat="1">
      <c r="A45" s="3"/>
      <c r="B45" s="535" t="s">
        <v>372</v>
      </c>
      <c r="C45" s="534">
        <f>37800-36000</f>
        <v>1800</v>
      </c>
      <c r="D45" s="534">
        <v>0</v>
      </c>
      <c r="E45" s="533">
        <v>0</v>
      </c>
      <c r="F45" s="534">
        <v>0</v>
      </c>
      <c r="G45" s="532">
        <f t="shared" si="1"/>
        <v>1800</v>
      </c>
      <c r="H45" s="623"/>
      <c r="I45" s="522"/>
      <c r="K45" s="28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s="22" customFormat="1">
      <c r="A46" s="3"/>
      <c r="B46" s="535" t="s">
        <v>373</v>
      </c>
      <c r="C46" s="534">
        <v>0</v>
      </c>
      <c r="D46" s="534">
        <v>0</v>
      </c>
      <c r="E46" s="534">
        <v>0</v>
      </c>
      <c r="F46" s="534">
        <v>243644.1</v>
      </c>
      <c r="G46" s="532">
        <f t="shared" si="1"/>
        <v>243644.1</v>
      </c>
      <c r="H46" s="623"/>
      <c r="I46" s="522"/>
      <c r="K46" s="28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s="22" customFormat="1">
      <c r="A47" s="3"/>
      <c r="B47" s="535" t="s">
        <v>365</v>
      </c>
      <c r="C47" s="534">
        <v>0</v>
      </c>
      <c r="D47" s="534">
        <v>0</v>
      </c>
      <c r="E47" s="534">
        <v>0</v>
      </c>
      <c r="F47" s="534">
        <v>224070</v>
      </c>
      <c r="G47" s="532">
        <f t="shared" si="1"/>
        <v>224070</v>
      </c>
      <c r="H47" s="623"/>
      <c r="I47" s="522"/>
      <c r="K47" s="28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s="22" customFormat="1">
      <c r="A48" s="3"/>
      <c r="B48" s="535" t="s">
        <v>370</v>
      </c>
      <c r="C48" s="533">
        <v>0</v>
      </c>
      <c r="D48" s="533">
        <v>0</v>
      </c>
      <c r="E48" s="534">
        <v>14490</v>
      </c>
      <c r="F48" s="533">
        <v>0</v>
      </c>
      <c r="G48" s="532">
        <f t="shared" si="1"/>
        <v>14490</v>
      </c>
      <c r="H48" s="623"/>
      <c r="I48" s="522"/>
      <c r="K48" s="28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s="22" customFormat="1" ht="15.75" thickBot="1">
      <c r="A49" s="3"/>
      <c r="B49" s="531" t="s">
        <v>369</v>
      </c>
      <c r="C49" s="529">
        <v>0</v>
      </c>
      <c r="D49" s="529">
        <v>0</v>
      </c>
      <c r="E49" s="530">
        <v>0</v>
      </c>
      <c r="F49" s="529">
        <v>21276.44</v>
      </c>
      <c r="G49" s="528">
        <f t="shared" si="1"/>
        <v>21276.44</v>
      </c>
      <c r="H49" s="623"/>
      <c r="I49" s="522"/>
      <c r="K49" s="28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s="22" customFormat="1" ht="30" customHeight="1" thickBot="1">
      <c r="B50" s="594" t="s">
        <v>442</v>
      </c>
      <c r="C50" s="527">
        <f>SUM(C38:C49)</f>
        <v>521266.19999999995</v>
      </c>
      <c r="D50" s="527">
        <f>SUM(D38:D49)</f>
        <v>1947450.3699999999</v>
      </c>
      <c r="E50" s="527">
        <f>SUM(E38:E49)</f>
        <v>15568.78</v>
      </c>
      <c r="F50" s="527">
        <f>SUM(F38:F49)</f>
        <v>716499.84</v>
      </c>
      <c r="G50" s="526">
        <f>SUM(G38:G49)</f>
        <v>3200785.19</v>
      </c>
      <c r="H50" s="623"/>
      <c r="I50" s="522"/>
      <c r="K50" s="284"/>
    </row>
    <row r="51" spans="1:39" s="22" customFormat="1" ht="5.0999999999999996" customHeight="1" thickBot="1">
      <c r="A51" s="3"/>
      <c r="B51" s="3"/>
      <c r="C51" s="3"/>
      <c r="D51" s="3"/>
      <c r="E51" s="3"/>
      <c r="F51" s="3"/>
      <c r="G51" s="3"/>
      <c r="H51" s="627"/>
      <c r="K51" s="28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22" customFormat="1" ht="39.950000000000003" customHeight="1" thickBot="1">
      <c r="B52" s="525" t="s">
        <v>18</v>
      </c>
      <c r="C52" s="524">
        <f>SUM(C50,C34)</f>
        <v>1618426.21</v>
      </c>
      <c r="D52" s="524">
        <f>SUM(D50,D34)</f>
        <v>2758697.17</v>
      </c>
      <c r="E52" s="524">
        <f>SUM(E50,E34)</f>
        <v>1422280.86</v>
      </c>
      <c r="F52" s="524">
        <f>SUM(F50,F34)</f>
        <v>1561831.1400000001</v>
      </c>
      <c r="G52" s="523">
        <f>SUM(G50,G34)</f>
        <v>7361235.3800000008</v>
      </c>
      <c r="H52" s="623"/>
      <c r="I52" s="522"/>
      <c r="K52" s="284"/>
    </row>
    <row r="56" spans="1:39" s="614" customFormat="1" ht="30" customHeight="1" thickBot="1">
      <c r="B56" s="711" t="s">
        <v>445</v>
      </c>
      <c r="C56" s="711"/>
      <c r="D56" s="711"/>
      <c r="E56" s="711"/>
      <c r="F56" s="711"/>
      <c r="G56" s="711"/>
      <c r="H56" s="628"/>
      <c r="K56" s="635"/>
    </row>
    <row r="57" spans="1:39" s="22" customFormat="1">
      <c r="A57" s="3"/>
      <c r="B57" s="597" t="s">
        <v>448</v>
      </c>
      <c r="C57" s="598" t="s">
        <v>453</v>
      </c>
      <c r="D57" s="599">
        <v>45049</v>
      </c>
      <c r="E57" s="600">
        <v>934437</v>
      </c>
      <c r="F57" s="599">
        <v>45049</v>
      </c>
      <c r="G57" s="615">
        <v>290000</v>
      </c>
      <c r="H57" s="623"/>
      <c r="I57" s="522"/>
      <c r="K57" s="28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22" customFormat="1">
      <c r="A58" s="3"/>
      <c r="B58" s="457" t="s">
        <v>446</v>
      </c>
      <c r="C58" s="601" t="s">
        <v>453</v>
      </c>
      <c r="D58" s="602">
        <v>45117</v>
      </c>
      <c r="E58" s="603"/>
      <c r="F58" s="602"/>
      <c r="G58" s="616">
        <v>6508.57</v>
      </c>
      <c r="H58" s="623"/>
      <c r="I58" s="522"/>
      <c r="K58" s="28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s="22" customFormat="1">
      <c r="A59" s="3"/>
      <c r="B59" s="457" t="s">
        <v>446</v>
      </c>
      <c r="C59" s="604" t="s">
        <v>454</v>
      </c>
      <c r="D59" s="602">
        <v>45112</v>
      </c>
      <c r="E59" s="603"/>
      <c r="F59" s="602"/>
      <c r="G59" s="616">
        <v>3074.95</v>
      </c>
      <c r="H59" s="623"/>
      <c r="I59" s="522"/>
      <c r="K59" s="28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s="22" customFormat="1">
      <c r="A60" s="3"/>
      <c r="B60" s="457" t="s">
        <v>447</v>
      </c>
      <c r="C60" s="604" t="s">
        <v>453</v>
      </c>
      <c r="D60" s="602">
        <v>45141</v>
      </c>
      <c r="E60" s="603"/>
      <c r="F60" s="602"/>
      <c r="G60" s="616">
        <v>48300.12</v>
      </c>
      <c r="H60" s="623"/>
      <c r="I60" s="522"/>
      <c r="K60" s="28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s="22" customFormat="1">
      <c r="A61" s="3"/>
      <c r="B61" s="457" t="s">
        <v>448</v>
      </c>
      <c r="C61" s="604" t="s">
        <v>454</v>
      </c>
      <c r="D61" s="602">
        <v>45089</v>
      </c>
      <c r="E61" s="603"/>
      <c r="F61" s="602"/>
      <c r="G61" s="616">
        <f>237024.9-226227.75</f>
        <v>10797.149999999994</v>
      </c>
      <c r="H61" s="623"/>
      <c r="I61" s="608" t="s">
        <v>444</v>
      </c>
      <c r="K61" s="28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s="22" customFormat="1">
      <c r="A62" s="3"/>
      <c r="B62" s="457" t="s">
        <v>443</v>
      </c>
      <c r="C62" s="604" t="s">
        <v>454</v>
      </c>
      <c r="D62" s="602">
        <v>45132</v>
      </c>
      <c r="E62" s="603"/>
      <c r="F62" s="602"/>
      <c r="G62" s="616">
        <v>395.02</v>
      </c>
      <c r="H62" s="623"/>
      <c r="I62" s="522"/>
      <c r="K62" s="28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s="22" customFormat="1">
      <c r="A63" s="3"/>
      <c r="B63" s="457" t="s">
        <v>449</v>
      </c>
      <c r="C63" s="604" t="s">
        <v>454</v>
      </c>
      <c r="D63" s="602">
        <v>45134</v>
      </c>
      <c r="E63" s="603"/>
      <c r="F63" s="602"/>
      <c r="G63" s="616">
        <v>20212.5</v>
      </c>
      <c r="H63" s="623"/>
      <c r="I63" s="522"/>
      <c r="K63" s="28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22" customFormat="1">
      <c r="A64" s="3"/>
      <c r="B64" s="457" t="s">
        <v>447</v>
      </c>
      <c r="C64" s="604" t="s">
        <v>453</v>
      </c>
      <c r="D64" s="602">
        <v>45136</v>
      </c>
      <c r="E64" s="603"/>
      <c r="F64" s="602"/>
      <c r="G64" s="616">
        <v>75052.56</v>
      </c>
      <c r="H64" s="623"/>
      <c r="I64" s="522"/>
      <c r="K64" s="28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s="22" customFormat="1">
      <c r="A65" s="3"/>
      <c r="B65" s="457" t="s">
        <v>449</v>
      </c>
      <c r="C65" s="604" t="s">
        <v>453</v>
      </c>
      <c r="D65" s="602">
        <v>45153</v>
      </c>
      <c r="E65" s="603"/>
      <c r="F65" s="602"/>
      <c r="G65" s="616">
        <v>33363.75</v>
      </c>
      <c r="H65" s="623"/>
      <c r="I65" s="522"/>
      <c r="K65" s="28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s="22" customFormat="1">
      <c r="A66" s="3"/>
      <c r="B66" s="457" t="s">
        <v>452</v>
      </c>
      <c r="C66" s="604" t="s">
        <v>453</v>
      </c>
      <c r="D66" s="602">
        <v>45156</v>
      </c>
      <c r="E66" s="603"/>
      <c r="F66" s="602"/>
      <c r="G66" s="616">
        <v>6027</v>
      </c>
      <c r="H66" s="623"/>
      <c r="I66" s="522"/>
      <c r="K66" s="28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22" customFormat="1">
      <c r="A67" s="3"/>
      <c r="B67" s="457" t="s">
        <v>450</v>
      </c>
      <c r="C67" s="604" t="s">
        <v>453</v>
      </c>
      <c r="D67" s="602">
        <v>45159</v>
      </c>
      <c r="E67" s="603"/>
      <c r="F67" s="602"/>
      <c r="G67" s="616">
        <v>2646</v>
      </c>
      <c r="H67" s="623"/>
      <c r="I67" s="522"/>
      <c r="K67" s="28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s="22" customFormat="1">
      <c r="A68" s="3"/>
      <c r="B68" s="457" t="s">
        <v>451</v>
      </c>
      <c r="C68" s="604" t="s">
        <v>453</v>
      </c>
      <c r="D68" s="602">
        <v>45157</v>
      </c>
      <c r="E68" s="603"/>
      <c r="F68" s="602"/>
      <c r="G68" s="616">
        <v>3864</v>
      </c>
      <c r="H68" s="623"/>
      <c r="I68" s="522"/>
      <c r="K68" s="28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22" customFormat="1">
      <c r="A69" s="3"/>
      <c r="B69" s="457" t="s">
        <v>452</v>
      </c>
      <c r="C69" s="604" t="s">
        <v>453</v>
      </c>
      <c r="D69" s="602">
        <v>45157</v>
      </c>
      <c r="E69" s="603"/>
      <c r="F69" s="602"/>
      <c r="G69" s="616">
        <v>1470</v>
      </c>
      <c r="H69" s="623"/>
      <c r="I69" s="522"/>
      <c r="K69" s="28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s="22" customFormat="1">
      <c r="A70" s="3"/>
      <c r="B70" s="457" t="s">
        <v>452</v>
      </c>
      <c r="C70" s="604" t="s">
        <v>453</v>
      </c>
      <c r="D70" s="602">
        <v>45157</v>
      </c>
      <c r="E70" s="603"/>
      <c r="F70" s="602"/>
      <c r="G70" s="616">
        <v>260.39999999999998</v>
      </c>
      <c r="H70" s="623"/>
      <c r="I70" s="522"/>
      <c r="K70" s="28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s="22" customFormat="1">
      <c r="A71" s="3"/>
      <c r="B71" s="457" t="s">
        <v>451</v>
      </c>
      <c r="C71" s="604" t="s">
        <v>453</v>
      </c>
      <c r="D71" s="602">
        <v>45156</v>
      </c>
      <c r="E71" s="603"/>
      <c r="F71" s="602"/>
      <c r="G71" s="616">
        <v>1146.02</v>
      </c>
      <c r="H71" s="623"/>
      <c r="I71" s="522"/>
      <c r="K71" s="28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s="22" customFormat="1">
      <c r="A72" s="3"/>
      <c r="B72" s="457" t="s">
        <v>446</v>
      </c>
      <c r="C72" s="604" t="s">
        <v>453</v>
      </c>
      <c r="D72" s="602">
        <v>45156</v>
      </c>
      <c r="E72" s="603"/>
      <c r="F72" s="602"/>
      <c r="G72" s="616">
        <v>4927.8599999999997</v>
      </c>
      <c r="H72" s="623"/>
      <c r="I72" s="522"/>
      <c r="K72" s="28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s="22" customFormat="1" ht="15.75" thickBot="1">
      <c r="A73" s="3"/>
      <c r="B73" s="454" t="s">
        <v>344</v>
      </c>
      <c r="C73" s="605" t="s">
        <v>453</v>
      </c>
      <c r="D73" s="606">
        <v>45160</v>
      </c>
      <c r="E73" s="607"/>
      <c r="F73" s="606"/>
      <c r="G73" s="617">
        <v>72000</v>
      </c>
      <c r="H73" s="623"/>
      <c r="I73" s="522"/>
      <c r="K73" s="28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s="191" customFormat="1" ht="24.95" customHeight="1" thickBot="1">
      <c r="B74" s="609"/>
      <c r="C74" s="610"/>
      <c r="D74" s="611"/>
      <c r="E74" s="612"/>
      <c r="F74" s="611"/>
      <c r="G74" s="618">
        <f>SUM(G57:G73)</f>
        <v>580045.90000000014</v>
      </c>
      <c r="H74" s="117"/>
      <c r="I74" s="613"/>
      <c r="K74" s="632"/>
    </row>
    <row r="75" spans="1:39" s="22" customFormat="1">
      <c r="A75" s="3"/>
      <c r="B75" s="4"/>
      <c r="C75" s="281"/>
      <c r="D75" s="596"/>
      <c r="E75" s="281"/>
      <c r="F75" s="596"/>
      <c r="G75" s="521"/>
      <c r="H75" s="623"/>
      <c r="I75" s="522"/>
      <c r="K75" s="28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</sheetData>
  <mergeCells count="5">
    <mergeCell ref="F3:G3"/>
    <mergeCell ref="B24:G24"/>
    <mergeCell ref="B31:G31"/>
    <mergeCell ref="B37:G37"/>
    <mergeCell ref="B56:G56"/>
  </mergeCells>
  <printOptions horizontalCentered="1"/>
  <pageMargins left="0" right="0" top="1.58" bottom="0" header="0.39" footer="0"/>
  <pageSetup paperSize="9" scale="70" orientation="portrait" r:id="rId1"/>
  <headerFooter>
    <oddHeader>&amp;C&amp;G</oddHeader>
    <oddFooter>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44"/>
  <sheetViews>
    <sheetView tabSelected="1" zoomScale="115" zoomScaleNormal="115" workbookViewId="0">
      <selection activeCell="B2" sqref="B2:G12"/>
    </sheetView>
  </sheetViews>
  <sheetFormatPr defaultRowHeight="15"/>
  <cols>
    <col min="2" max="2" width="5.7109375" style="101" customWidth="1"/>
    <col min="3" max="3" width="38.85546875" customWidth="1"/>
    <col min="4" max="4" width="6.28515625" customWidth="1"/>
    <col min="5" max="5" width="40" customWidth="1"/>
    <col min="6" max="6" width="11.85546875" bestFit="1" customWidth="1"/>
    <col min="7" max="7" width="16.140625" customWidth="1"/>
    <col min="8" max="8" width="32" customWidth="1"/>
  </cols>
  <sheetData>
    <row r="2" spans="2:8" ht="18.75">
      <c r="B2" s="714" t="s">
        <v>435</v>
      </c>
      <c r="C2" s="714"/>
      <c r="D2" s="714"/>
      <c r="E2" s="714"/>
      <c r="F2" s="714"/>
      <c r="G2" s="714"/>
    </row>
    <row r="3" spans="2:8">
      <c r="B3" s="561" t="s">
        <v>400</v>
      </c>
      <c r="C3" s="560" t="s">
        <v>399</v>
      </c>
      <c r="D3" s="560" t="s">
        <v>398</v>
      </c>
      <c r="E3" s="560" t="s">
        <v>398</v>
      </c>
      <c r="F3" s="560" t="s">
        <v>397</v>
      </c>
      <c r="G3" s="560" t="s">
        <v>396</v>
      </c>
    </row>
    <row r="4" spans="2:8">
      <c r="B4" s="561">
        <v>1</v>
      </c>
      <c r="C4" s="560" t="s">
        <v>434</v>
      </c>
      <c r="D4" s="560" t="s">
        <v>433</v>
      </c>
      <c r="E4" s="560" t="s">
        <v>416</v>
      </c>
      <c r="F4" s="559">
        <v>44521</v>
      </c>
      <c r="G4" s="558">
        <v>395240</v>
      </c>
    </row>
    <row r="5" spans="2:8">
      <c r="B5" s="561">
        <v>2</v>
      </c>
      <c r="C5" s="560" t="s">
        <v>432</v>
      </c>
      <c r="D5" s="560" t="s">
        <v>394</v>
      </c>
      <c r="E5" s="560" t="s">
        <v>430</v>
      </c>
      <c r="F5" s="559">
        <v>44522</v>
      </c>
      <c r="G5" s="558">
        <v>250955</v>
      </c>
    </row>
    <row r="6" spans="2:8">
      <c r="B6" s="561">
        <v>3</v>
      </c>
      <c r="C6" s="560" t="s">
        <v>431</v>
      </c>
      <c r="D6" s="560" t="s">
        <v>388</v>
      </c>
      <c r="E6" s="560" t="s">
        <v>430</v>
      </c>
      <c r="F6" s="559">
        <v>44522</v>
      </c>
      <c r="G6" s="558">
        <v>486994</v>
      </c>
    </row>
    <row r="7" spans="2:8">
      <c r="B7" s="561">
        <v>4</v>
      </c>
      <c r="C7" s="560" t="s">
        <v>429</v>
      </c>
      <c r="D7" s="560" t="s">
        <v>388</v>
      </c>
      <c r="E7" s="560" t="s">
        <v>428</v>
      </c>
      <c r="F7" s="559">
        <v>44817</v>
      </c>
      <c r="G7" s="558">
        <v>275155</v>
      </c>
    </row>
    <row r="8" spans="2:8">
      <c r="B8" s="561">
        <v>5</v>
      </c>
      <c r="C8" s="562" t="s">
        <v>427</v>
      </c>
      <c r="D8" s="560" t="s">
        <v>388</v>
      </c>
      <c r="E8" s="560" t="s">
        <v>426</v>
      </c>
      <c r="F8" s="559">
        <v>44817</v>
      </c>
      <c r="G8" s="558">
        <v>169480</v>
      </c>
    </row>
    <row r="9" spans="2:8">
      <c r="B9" s="561">
        <v>6</v>
      </c>
      <c r="C9" s="562" t="s">
        <v>425</v>
      </c>
      <c r="D9" s="560" t="s">
        <v>388</v>
      </c>
      <c r="E9" s="560" t="s">
        <v>416</v>
      </c>
      <c r="F9" s="559">
        <v>44840</v>
      </c>
      <c r="G9" s="558">
        <v>32450</v>
      </c>
    </row>
    <row r="10" spans="2:8">
      <c r="B10" s="561">
        <v>7</v>
      </c>
      <c r="C10" s="560" t="s">
        <v>424</v>
      </c>
      <c r="D10" s="560" t="s">
        <v>388</v>
      </c>
      <c r="E10" s="560" t="s">
        <v>423</v>
      </c>
      <c r="F10" s="559">
        <v>44963</v>
      </c>
      <c r="G10" s="558">
        <v>510043</v>
      </c>
    </row>
    <row r="11" spans="2:8">
      <c r="B11" s="561">
        <v>8</v>
      </c>
      <c r="C11" s="560" t="s">
        <v>422</v>
      </c>
      <c r="D11" s="560" t="s">
        <v>388</v>
      </c>
      <c r="E11" s="560" t="s">
        <v>421</v>
      </c>
      <c r="F11" s="559">
        <v>44998</v>
      </c>
      <c r="G11" s="558">
        <v>0</v>
      </c>
    </row>
    <row r="12" spans="2:8">
      <c r="C12" s="557" t="s">
        <v>121</v>
      </c>
      <c r="D12" s="557"/>
      <c r="F12" s="557"/>
      <c r="G12" s="556">
        <f>SUM(G4:G11)</f>
        <v>2120317</v>
      </c>
    </row>
    <row r="14" spans="2:8" ht="18.75">
      <c r="B14" s="713" t="s">
        <v>420</v>
      </c>
      <c r="C14" s="713"/>
      <c r="D14" s="713"/>
      <c r="E14" s="713"/>
      <c r="F14" s="713"/>
      <c r="G14" s="713"/>
    </row>
    <row r="15" spans="2:8">
      <c r="B15" s="561" t="s">
        <v>400</v>
      </c>
      <c r="C15" s="560" t="s">
        <v>399</v>
      </c>
      <c r="D15" s="560" t="s">
        <v>398</v>
      </c>
      <c r="E15" s="560" t="s">
        <v>419</v>
      </c>
      <c r="F15" s="560" t="s">
        <v>397</v>
      </c>
      <c r="G15" s="561" t="s">
        <v>418</v>
      </c>
      <c r="H15" s="693" t="s">
        <v>492</v>
      </c>
    </row>
    <row r="16" spans="2:8">
      <c r="B16" s="687">
        <v>1</v>
      </c>
      <c r="C16" s="688" t="s">
        <v>417</v>
      </c>
      <c r="D16" s="688" t="s">
        <v>388</v>
      </c>
      <c r="E16" s="688" t="s">
        <v>416</v>
      </c>
      <c r="F16" s="689">
        <v>44510</v>
      </c>
      <c r="G16" s="690">
        <v>869087.61</v>
      </c>
      <c r="H16" s="562" t="s">
        <v>475</v>
      </c>
    </row>
    <row r="17" spans="2:8">
      <c r="B17" s="561">
        <v>2</v>
      </c>
      <c r="C17" s="560" t="s">
        <v>415</v>
      </c>
      <c r="D17" s="560" t="s">
        <v>394</v>
      </c>
      <c r="E17" s="562" t="s">
        <v>412</v>
      </c>
      <c r="F17" s="559">
        <v>44733</v>
      </c>
      <c r="G17" s="665">
        <v>163212.45000000001</v>
      </c>
      <c r="H17" s="562" t="s">
        <v>477</v>
      </c>
    </row>
    <row r="18" spans="2:8">
      <c r="B18" s="561">
        <v>3</v>
      </c>
      <c r="C18" s="560" t="s">
        <v>414</v>
      </c>
      <c r="D18" s="560" t="s">
        <v>388</v>
      </c>
      <c r="E18" s="562" t="s">
        <v>410</v>
      </c>
      <c r="F18" s="559">
        <v>44664</v>
      </c>
      <c r="G18" s="665">
        <v>176000</v>
      </c>
      <c r="H18" s="562" t="s">
        <v>483</v>
      </c>
    </row>
    <row r="19" spans="2:8">
      <c r="B19" s="561">
        <v>4</v>
      </c>
      <c r="C19" s="560" t="s">
        <v>413</v>
      </c>
      <c r="D19" s="560" t="s">
        <v>388</v>
      </c>
      <c r="E19" s="562" t="s">
        <v>412</v>
      </c>
      <c r="F19" s="559">
        <v>44664</v>
      </c>
      <c r="G19" s="665">
        <v>309322.13</v>
      </c>
      <c r="H19" s="562" t="s">
        <v>479</v>
      </c>
    </row>
    <row r="20" spans="2:8">
      <c r="B20" s="561">
        <v>5</v>
      </c>
      <c r="C20" s="562" t="s">
        <v>411</v>
      </c>
      <c r="D20" s="560" t="s">
        <v>388</v>
      </c>
      <c r="E20" s="562" t="s">
        <v>410</v>
      </c>
      <c r="F20" s="559">
        <v>44628</v>
      </c>
      <c r="G20" s="665">
        <v>5560.9</v>
      </c>
      <c r="H20" s="562" t="s">
        <v>485</v>
      </c>
    </row>
    <row r="21" spans="2:8">
      <c r="B21" s="561">
        <v>6</v>
      </c>
      <c r="C21" s="560" t="s">
        <v>409</v>
      </c>
      <c r="D21" s="560" t="s">
        <v>394</v>
      </c>
      <c r="E21" s="562" t="s">
        <v>403</v>
      </c>
      <c r="F21" s="559">
        <v>44733</v>
      </c>
      <c r="G21" s="665">
        <v>20251.759999999998</v>
      </c>
      <c r="H21" s="562" t="s">
        <v>481</v>
      </c>
    </row>
    <row r="22" spans="2:8">
      <c r="B22" s="687" t="s">
        <v>469</v>
      </c>
      <c r="C22" s="688" t="s">
        <v>408</v>
      </c>
      <c r="D22" s="688" t="s">
        <v>388</v>
      </c>
      <c r="E22" s="688" t="s">
        <v>405</v>
      </c>
      <c r="F22" s="689">
        <v>44972</v>
      </c>
      <c r="G22" s="690">
        <v>180380</v>
      </c>
      <c r="H22" s="562"/>
    </row>
    <row r="23" spans="2:8">
      <c r="B23" s="687">
        <v>8</v>
      </c>
      <c r="C23" s="688" t="s">
        <v>407</v>
      </c>
      <c r="D23" s="688" t="s">
        <v>388</v>
      </c>
      <c r="E23" s="688" t="s">
        <v>405</v>
      </c>
      <c r="F23" s="689">
        <v>44972</v>
      </c>
      <c r="G23" s="690">
        <v>172200</v>
      </c>
      <c r="H23" s="562"/>
    </row>
    <row r="24" spans="2:8">
      <c r="B24" s="687">
        <v>9</v>
      </c>
      <c r="C24" s="688" t="s">
        <v>406</v>
      </c>
      <c r="D24" s="688" t="s">
        <v>388</v>
      </c>
      <c r="E24" s="688" t="s">
        <v>405</v>
      </c>
      <c r="F24" s="689">
        <v>44972</v>
      </c>
      <c r="G24" s="690">
        <v>111100</v>
      </c>
      <c r="H24" s="562"/>
    </row>
    <row r="25" spans="2:8">
      <c r="B25" s="561">
        <v>10</v>
      </c>
      <c r="C25" s="560" t="s">
        <v>404</v>
      </c>
      <c r="D25" s="560" t="s">
        <v>388</v>
      </c>
      <c r="E25" s="562" t="s">
        <v>403</v>
      </c>
      <c r="F25" s="559">
        <v>45152</v>
      </c>
      <c r="G25" s="665">
        <v>57640</v>
      </c>
      <c r="H25" s="562" t="s">
        <v>487</v>
      </c>
    </row>
    <row r="26" spans="2:8" ht="30">
      <c r="B26" s="659">
        <v>11</v>
      </c>
      <c r="C26" s="660" t="s">
        <v>463</v>
      </c>
      <c r="D26" s="661" t="s">
        <v>388</v>
      </c>
      <c r="E26" s="660" t="s">
        <v>464</v>
      </c>
      <c r="F26" s="662">
        <v>45204</v>
      </c>
      <c r="G26" s="666">
        <v>400000</v>
      </c>
      <c r="H26" s="660" t="s">
        <v>489</v>
      </c>
    </row>
    <row r="27" spans="2:8">
      <c r="F27" s="100" t="s">
        <v>121</v>
      </c>
      <c r="G27" s="556">
        <f>SUM(G16:G26)</f>
        <v>2464754.8499999996</v>
      </c>
    </row>
    <row r="28" spans="2:8">
      <c r="F28" s="100" t="s">
        <v>466</v>
      </c>
      <c r="G28" s="556">
        <v>700000</v>
      </c>
    </row>
    <row r="29" spans="2:8">
      <c r="F29" s="100" t="s">
        <v>467</v>
      </c>
      <c r="G29" s="672">
        <f>G27-G28</f>
        <v>1764754.8499999996</v>
      </c>
    </row>
    <row r="30" spans="2:8" ht="18.75">
      <c r="B30" s="714" t="s">
        <v>402</v>
      </c>
      <c r="C30" s="714"/>
      <c r="D30" s="714"/>
      <c r="E30" s="714"/>
      <c r="F30" s="714"/>
      <c r="G30" s="714"/>
    </row>
    <row r="31" spans="2:8">
      <c r="B31" s="561" t="s">
        <v>400</v>
      </c>
      <c r="C31" s="560" t="s">
        <v>399</v>
      </c>
      <c r="D31" s="560" t="s">
        <v>398</v>
      </c>
      <c r="E31" s="560" t="s">
        <v>398</v>
      </c>
      <c r="F31" s="560" t="s">
        <v>397</v>
      </c>
      <c r="G31" s="560" t="s">
        <v>396</v>
      </c>
    </row>
    <row r="32" spans="2:8">
      <c r="B32" s="561">
        <v>1</v>
      </c>
      <c r="C32" s="560" t="s">
        <v>389</v>
      </c>
      <c r="D32" s="560" t="s">
        <v>388</v>
      </c>
      <c r="E32" s="560" t="s">
        <v>387</v>
      </c>
      <c r="F32" s="559">
        <v>44648</v>
      </c>
      <c r="G32" s="558">
        <v>20000</v>
      </c>
    </row>
    <row r="33" spans="2:7">
      <c r="B33" s="561">
        <v>2</v>
      </c>
      <c r="C33" s="560" t="s">
        <v>392</v>
      </c>
      <c r="D33" s="560" t="s">
        <v>388</v>
      </c>
      <c r="E33" s="560" t="s">
        <v>390</v>
      </c>
      <c r="F33" s="559">
        <v>44768</v>
      </c>
      <c r="G33" s="558">
        <v>35622.44</v>
      </c>
    </row>
    <row r="34" spans="2:7" ht="30">
      <c r="B34" s="659">
        <v>3</v>
      </c>
      <c r="C34" s="660" t="s">
        <v>391</v>
      </c>
      <c r="D34" s="661" t="s">
        <v>388</v>
      </c>
      <c r="E34" s="661" t="s">
        <v>390</v>
      </c>
      <c r="F34" s="662">
        <v>44791</v>
      </c>
      <c r="G34" s="663">
        <v>12056.5</v>
      </c>
    </row>
    <row r="35" spans="2:7">
      <c r="F35" s="557" t="s">
        <v>121</v>
      </c>
      <c r="G35" s="556">
        <f>SUM(G32:G34)</f>
        <v>67678.94</v>
      </c>
    </row>
    <row r="36" spans="2:7" ht="18.75">
      <c r="B36" s="714" t="s">
        <v>401</v>
      </c>
      <c r="C36" s="714"/>
      <c r="D36" s="714"/>
      <c r="E36" s="714"/>
      <c r="F36" s="714"/>
      <c r="G36" s="714"/>
    </row>
    <row r="37" spans="2:7">
      <c r="B37" s="561" t="s">
        <v>400</v>
      </c>
      <c r="C37" s="560" t="s">
        <v>399</v>
      </c>
      <c r="D37" s="560" t="s">
        <v>398</v>
      </c>
      <c r="E37" s="560" t="s">
        <v>398</v>
      </c>
      <c r="F37" s="560" t="s">
        <v>397</v>
      </c>
      <c r="G37" s="560" t="s">
        <v>396</v>
      </c>
    </row>
    <row r="38" spans="2:7">
      <c r="B38" s="561">
        <v>1</v>
      </c>
      <c r="C38" s="560" t="s">
        <v>395</v>
      </c>
      <c r="D38" s="560" t="s">
        <v>394</v>
      </c>
      <c r="E38" s="560" t="s">
        <v>393</v>
      </c>
      <c r="F38" s="559">
        <v>44660</v>
      </c>
      <c r="G38" s="558">
        <v>90000</v>
      </c>
    </row>
    <row r="39" spans="2:7">
      <c r="B39" s="561">
        <v>2</v>
      </c>
      <c r="C39" s="560" t="s">
        <v>392</v>
      </c>
      <c r="D39" s="560" t="s">
        <v>388</v>
      </c>
      <c r="E39" s="560" t="s">
        <v>390</v>
      </c>
      <c r="F39" s="559">
        <v>44770</v>
      </c>
      <c r="G39" s="558">
        <v>36064</v>
      </c>
    </row>
    <row r="40" spans="2:7" ht="30">
      <c r="B40" s="659">
        <v>3</v>
      </c>
      <c r="C40" s="660" t="s">
        <v>391</v>
      </c>
      <c r="D40" s="661" t="s">
        <v>388</v>
      </c>
      <c r="E40" s="661" t="s">
        <v>390</v>
      </c>
      <c r="F40" s="662">
        <v>44791</v>
      </c>
      <c r="G40" s="663">
        <v>3070</v>
      </c>
    </row>
    <row r="41" spans="2:7">
      <c r="B41" s="561">
        <v>1</v>
      </c>
      <c r="C41" s="560" t="s">
        <v>389</v>
      </c>
      <c r="D41" s="560" t="s">
        <v>388</v>
      </c>
      <c r="E41" s="560" t="s">
        <v>387</v>
      </c>
      <c r="F41" s="559">
        <v>44648</v>
      </c>
      <c r="G41" s="558">
        <v>20000</v>
      </c>
    </row>
    <row r="42" spans="2:7">
      <c r="F42" s="557" t="s">
        <v>121</v>
      </c>
      <c r="G42" s="556">
        <f>SUM(G38:G41)</f>
        <v>149134</v>
      </c>
    </row>
    <row r="44" spans="2:7">
      <c r="C44" s="557"/>
      <c r="F44" s="557"/>
      <c r="G44" s="556">
        <f>G27+G12+G42+G35</f>
        <v>4801884.79</v>
      </c>
    </row>
  </sheetData>
  <mergeCells count="4">
    <mergeCell ref="B14:G14"/>
    <mergeCell ref="B2:G2"/>
    <mergeCell ref="B36:G36"/>
    <mergeCell ref="B30:G30"/>
  </mergeCells>
  <printOptions horizontalCentered="1"/>
  <pageMargins left="0" right="0" top="0.98" bottom="0.75" header="0.3" footer="0.3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F9" sqref="F9"/>
    </sheetView>
  </sheetViews>
  <sheetFormatPr defaultRowHeight="15"/>
  <cols>
    <col min="1" max="1" width="8.5703125" style="691" customWidth="1"/>
    <col min="2" max="2" width="23" style="691" customWidth="1"/>
    <col min="3" max="3" width="36.28515625" style="691" customWidth="1"/>
    <col min="4" max="4" width="18.5703125" style="691" bestFit="1" customWidth="1"/>
    <col min="5" max="5" width="19.5703125" style="691" customWidth="1"/>
    <col min="6" max="6" width="18.7109375" style="691" bestFit="1" customWidth="1"/>
    <col min="7" max="16384" width="9.140625" style="691"/>
  </cols>
  <sheetData>
    <row r="1" spans="1:6" ht="45.75" customHeight="1">
      <c r="A1" s="715" t="s">
        <v>420</v>
      </c>
      <c r="B1" s="715"/>
      <c r="C1" s="715"/>
      <c r="D1" s="715"/>
      <c r="E1" s="715"/>
      <c r="F1" s="715"/>
    </row>
    <row r="2" spans="1:6" ht="60" customHeight="1">
      <c r="A2" s="695" t="s">
        <v>470</v>
      </c>
      <c r="B2" s="696" t="s">
        <v>491</v>
      </c>
      <c r="C2" s="697" t="s">
        <v>399</v>
      </c>
      <c r="D2" s="698" t="s">
        <v>471</v>
      </c>
      <c r="E2" s="699" t="s">
        <v>472</v>
      </c>
      <c r="F2" s="698" t="s">
        <v>496</v>
      </c>
    </row>
    <row r="3" spans="1:6" ht="35.25" customHeight="1">
      <c r="A3" s="700">
        <v>1</v>
      </c>
      <c r="B3" s="692" t="s">
        <v>475</v>
      </c>
      <c r="C3" s="701" t="s">
        <v>476</v>
      </c>
      <c r="D3" s="702">
        <v>687941.09</v>
      </c>
      <c r="E3" s="703" t="s">
        <v>473</v>
      </c>
      <c r="F3" s="705">
        <v>869087.61</v>
      </c>
    </row>
    <row r="4" spans="1:6" ht="35.25" customHeight="1">
      <c r="A4" s="700">
        <v>2</v>
      </c>
      <c r="B4" s="692" t="s">
        <v>477</v>
      </c>
      <c r="C4" s="701" t="s">
        <v>478</v>
      </c>
      <c r="D4" s="707">
        <v>163212.45000000001</v>
      </c>
      <c r="E4" s="703" t="s">
        <v>473</v>
      </c>
    </row>
    <row r="5" spans="1:6" ht="35.25" customHeight="1">
      <c r="A5" s="700">
        <v>3</v>
      </c>
      <c r="B5" s="692" t="s">
        <v>479</v>
      </c>
      <c r="C5" s="701" t="s">
        <v>480</v>
      </c>
      <c r="D5" s="708">
        <v>309322.13</v>
      </c>
      <c r="E5" s="703" t="s">
        <v>473</v>
      </c>
    </row>
    <row r="6" spans="1:6" ht="35.25" customHeight="1">
      <c r="A6" s="700">
        <v>4</v>
      </c>
      <c r="B6" s="692" t="s">
        <v>481</v>
      </c>
      <c r="C6" s="701" t="s">
        <v>482</v>
      </c>
      <c r="D6" s="708">
        <v>20521.759999999998</v>
      </c>
      <c r="E6" s="703" t="s">
        <v>473</v>
      </c>
    </row>
    <row r="7" spans="1:6" ht="35.25" customHeight="1">
      <c r="A7" s="700">
        <v>5</v>
      </c>
      <c r="B7" s="692" t="s">
        <v>483</v>
      </c>
      <c r="C7" s="701" t="s">
        <v>484</v>
      </c>
      <c r="D7" s="708">
        <v>176000</v>
      </c>
      <c r="E7" s="703" t="s">
        <v>473</v>
      </c>
    </row>
    <row r="8" spans="1:6" ht="35.25" customHeight="1">
      <c r="A8" s="700">
        <v>6</v>
      </c>
      <c r="B8" s="692" t="s">
        <v>485</v>
      </c>
      <c r="C8" s="701" t="s">
        <v>486</v>
      </c>
      <c r="D8" s="707">
        <v>5560.9</v>
      </c>
      <c r="E8" s="703" t="s">
        <v>473</v>
      </c>
    </row>
    <row r="9" spans="1:6" ht="35.25" customHeight="1">
      <c r="A9" s="700">
        <v>7</v>
      </c>
      <c r="B9" s="692" t="s">
        <v>487</v>
      </c>
      <c r="C9" s="701" t="s">
        <v>488</v>
      </c>
      <c r="D9" s="708">
        <v>57640</v>
      </c>
      <c r="E9" s="703" t="s">
        <v>473</v>
      </c>
    </row>
    <row r="10" spans="1:6" ht="35.25" customHeight="1">
      <c r="A10" s="700">
        <v>8</v>
      </c>
      <c r="B10" s="692" t="s">
        <v>489</v>
      </c>
      <c r="C10" s="701" t="s">
        <v>490</v>
      </c>
      <c r="D10" s="708">
        <v>236744.49</v>
      </c>
      <c r="E10" s="703" t="s">
        <v>474</v>
      </c>
    </row>
    <row r="11" spans="1:6" ht="35.25" customHeight="1">
      <c r="A11" s="700">
        <v>9</v>
      </c>
      <c r="B11" s="692" t="s">
        <v>408</v>
      </c>
      <c r="C11" s="701" t="s">
        <v>405</v>
      </c>
      <c r="D11" s="704"/>
      <c r="E11" s="703"/>
      <c r="F11" s="706">
        <v>180380</v>
      </c>
    </row>
    <row r="12" spans="1:6" ht="35.25" customHeight="1">
      <c r="A12" s="700">
        <v>10</v>
      </c>
      <c r="B12" s="692" t="s">
        <v>407</v>
      </c>
      <c r="C12" s="701" t="s">
        <v>405</v>
      </c>
      <c r="D12" s="704"/>
      <c r="E12" s="703"/>
      <c r="F12" s="706">
        <v>172200</v>
      </c>
    </row>
    <row r="13" spans="1:6" ht="35.25" customHeight="1">
      <c r="A13" s="700">
        <v>11</v>
      </c>
      <c r="B13" s="692" t="s">
        <v>406</v>
      </c>
      <c r="C13" s="701" t="s">
        <v>405</v>
      </c>
      <c r="D13" s="704"/>
      <c r="E13" s="703"/>
      <c r="F13" s="706">
        <v>111100</v>
      </c>
    </row>
    <row r="15" spans="1:6">
      <c r="B15" s="691" t="s">
        <v>493</v>
      </c>
    </row>
    <row r="16" spans="1:6" ht="18.75">
      <c r="B16" s="694" t="s">
        <v>495</v>
      </c>
    </row>
    <row r="17" spans="2:2" ht="18.75">
      <c r="B17" s="694" t="s">
        <v>494</v>
      </c>
    </row>
  </sheetData>
  <mergeCells count="1">
    <mergeCell ref="A1:F1"/>
  </mergeCells>
  <pageMargins left="0.7" right="0.7" top="0.75" bottom="0.75" header="0.3" footer="0.3"/>
  <pageSetup scale="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:AN106"/>
  <sheetViews>
    <sheetView zoomScaleNormal="100" zoomScaleSheetLayoutView="10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E44" sqref="E44"/>
    </sheetView>
  </sheetViews>
  <sheetFormatPr defaultColWidth="9.140625" defaultRowHeight="14.25"/>
  <cols>
    <col min="1" max="1" width="9.140625" style="3"/>
    <col min="2" max="2" width="14" style="2" customWidth="1"/>
    <col min="3" max="3" width="71" style="2" customWidth="1"/>
    <col min="4" max="4" width="16.28515625" style="281" customWidth="1"/>
    <col min="5" max="5" width="16.140625" style="281" bestFit="1" customWidth="1"/>
    <col min="6" max="6" width="4.42578125" style="440" bestFit="1" customWidth="1"/>
    <col min="7" max="7" width="16.140625" style="284" bestFit="1" customWidth="1"/>
    <col min="8" max="8" width="12.85546875" style="283" bestFit="1" customWidth="1"/>
    <col min="9" max="9" width="15.28515625" style="3" bestFit="1" customWidth="1"/>
    <col min="10" max="10" width="14.28515625" style="3" bestFit="1" customWidth="1"/>
    <col min="11" max="11" width="12.7109375" style="3" bestFit="1" customWidth="1"/>
    <col min="12" max="12" width="11.5703125" style="3" customWidth="1"/>
    <col min="13" max="16384" width="9.140625" style="3"/>
  </cols>
  <sheetData>
    <row r="2" spans="1:40" s="21" customFormat="1" ht="23.25" customHeight="1">
      <c r="B2" s="21" t="s">
        <v>279</v>
      </c>
      <c r="C2" s="190"/>
      <c r="D2" s="716" t="s">
        <v>352</v>
      </c>
      <c r="E2" s="716"/>
      <c r="F2" s="371"/>
      <c r="G2" s="304"/>
      <c r="H2" s="303"/>
    </row>
    <row r="3" spans="1:40" ht="13.9" customHeight="1">
      <c r="B3" s="4" t="s">
        <v>351</v>
      </c>
      <c r="C3" s="1"/>
      <c r="D3" s="712"/>
      <c r="E3" s="712"/>
    </row>
    <row r="4" spans="1:40">
      <c r="B4" s="3" t="s">
        <v>350</v>
      </c>
      <c r="C4" s="3"/>
      <c r="D4" s="369" t="s">
        <v>6</v>
      </c>
      <c r="E4" s="437">
        <f ca="1">TODAY()</f>
        <v>45298</v>
      </c>
    </row>
    <row r="5" spans="1:40">
      <c r="B5" s="3" t="s">
        <v>23</v>
      </c>
      <c r="C5" s="3"/>
      <c r="D5" s="370" t="s">
        <v>5</v>
      </c>
      <c r="E5" s="369"/>
    </row>
    <row r="6" spans="1:40" ht="6.75" customHeight="1">
      <c r="B6" s="6"/>
      <c r="C6" s="181"/>
      <c r="D6" s="270"/>
      <c r="E6" s="270"/>
    </row>
    <row r="7" spans="1:40" ht="15">
      <c r="B7" s="6" t="s">
        <v>349</v>
      </c>
      <c r="D7" s="368" t="s">
        <v>3</v>
      </c>
      <c r="E7" s="314">
        <f>E54</f>
        <v>2699661.667750001</v>
      </c>
      <c r="G7" s="490" t="s">
        <v>367</v>
      </c>
      <c r="H7" s="283" t="s">
        <v>368</v>
      </c>
    </row>
    <row r="8" spans="1:40">
      <c r="B8" s="4" t="s">
        <v>348</v>
      </c>
      <c r="D8" s="367" t="s">
        <v>236</v>
      </c>
      <c r="E8" s="438">
        <f ca="1">E4</f>
        <v>45298</v>
      </c>
    </row>
    <row r="9" spans="1:40">
      <c r="B9" s="4" t="s">
        <v>347</v>
      </c>
      <c r="D9" s="37"/>
      <c r="E9" s="37"/>
    </row>
    <row r="10" spans="1:40" ht="6.75" customHeight="1" thickBot="1">
      <c r="B10" s="6"/>
      <c r="C10" s="4"/>
      <c r="D10" s="37"/>
      <c r="E10" s="37"/>
    </row>
    <row r="11" spans="1:40" s="22" customFormat="1" ht="45" customHeight="1" thickBot="1">
      <c r="B11" s="138" t="s">
        <v>346</v>
      </c>
      <c r="C11" s="227" t="s">
        <v>119</v>
      </c>
      <c r="D11" s="366" t="s">
        <v>345</v>
      </c>
      <c r="E11" s="366" t="s">
        <v>31</v>
      </c>
      <c r="F11" s="440"/>
      <c r="G11" s="284"/>
      <c r="H11" s="28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s="143" customFormat="1" ht="5.0999999999999996" customHeight="1" thickBot="1">
      <c r="A12" s="64"/>
      <c r="B12" s="64"/>
      <c r="C12" s="64"/>
      <c r="D12" s="64"/>
      <c r="E12" s="64"/>
      <c r="F12" s="440"/>
      <c r="G12" s="284"/>
      <c r="H12" s="28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7.100000000000001" customHeight="1">
      <c r="B13" s="363" t="s">
        <v>361</v>
      </c>
      <c r="C13" s="364" t="s">
        <v>16</v>
      </c>
      <c r="D13" s="361"/>
      <c r="E13" s="361"/>
    </row>
    <row r="14" spans="1:40" ht="17.100000000000001" customHeight="1">
      <c r="B14" s="231"/>
      <c r="C14" s="69" t="s">
        <v>15</v>
      </c>
      <c r="D14" s="491">
        <v>1300000</v>
      </c>
      <c r="E14" s="491">
        <f>D14</f>
        <v>1300000</v>
      </c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</row>
    <row r="15" spans="1:40" ht="17.100000000000001" customHeight="1">
      <c r="B15" s="231"/>
      <c r="C15" s="351" t="s">
        <v>359</v>
      </c>
      <c r="D15" s="491">
        <v>1000000</v>
      </c>
      <c r="E15" s="491">
        <f>SUM(E14,D15)</f>
        <v>2300000</v>
      </c>
    </row>
    <row r="16" spans="1:40" s="355" customFormat="1" ht="17.100000000000001" customHeight="1">
      <c r="B16" s="360"/>
      <c r="C16" s="359" t="s">
        <v>278</v>
      </c>
      <c r="D16" s="492">
        <f>-E15*10%</f>
        <v>-230000</v>
      </c>
      <c r="E16" s="492">
        <f>SUM(E15,D16)</f>
        <v>2070000</v>
      </c>
      <c r="F16" s="441"/>
      <c r="G16" s="357"/>
      <c r="H16" s="356"/>
    </row>
    <row r="17" spans="1:10" ht="17.100000000000001" customHeight="1">
      <c r="B17" s="232"/>
      <c r="C17" s="71" t="s">
        <v>342</v>
      </c>
      <c r="D17" s="491">
        <f>E16*5%</f>
        <v>103500</v>
      </c>
      <c r="E17" s="491">
        <f>SUM(E16,D17)</f>
        <v>2173500</v>
      </c>
    </row>
    <row r="18" spans="1:10" ht="17.100000000000001" customHeight="1" thickBot="1">
      <c r="B18" s="354"/>
      <c r="C18" s="353" t="s">
        <v>24</v>
      </c>
      <c r="D18" s="493">
        <f>-(797160.01+50000+250000+70233.3)</f>
        <v>-1167393.31</v>
      </c>
      <c r="E18" s="493">
        <f>SUM(E17,D18)</f>
        <v>1006106.69</v>
      </c>
      <c r="F18" s="440">
        <f>D18+'Ledgers 23-08-2023'!$H$21</f>
        <v>0</v>
      </c>
    </row>
    <row r="19" spans="1:10" ht="17.100000000000001" customHeight="1" thickBot="1">
      <c r="B19" s="234"/>
      <c r="C19" s="73" t="s">
        <v>12</v>
      </c>
      <c r="D19" s="494">
        <f>SUM(D14:D18)</f>
        <v>1006106.69</v>
      </c>
      <c r="E19" s="494">
        <f>E18</f>
        <v>1006106.69</v>
      </c>
    </row>
    <row r="20" spans="1:10" s="8" customFormat="1" ht="5.0999999999999996" customHeight="1" thickBot="1">
      <c r="A20" s="64"/>
      <c r="B20" s="64"/>
      <c r="C20" s="64"/>
      <c r="D20" s="64"/>
      <c r="E20" s="64"/>
      <c r="F20" s="440"/>
      <c r="G20" s="284"/>
      <c r="H20" s="283"/>
      <c r="I20" s="3"/>
      <c r="J20" s="3"/>
    </row>
    <row r="21" spans="1:10" ht="17.100000000000001" customHeight="1">
      <c r="B21" s="363" t="s">
        <v>362</v>
      </c>
      <c r="C21" s="364" t="s">
        <v>27</v>
      </c>
      <c r="D21" s="495"/>
      <c r="E21" s="495"/>
    </row>
    <row r="22" spans="1:10" ht="17.100000000000001" customHeight="1">
      <c r="B22" s="231"/>
      <c r="C22" s="69" t="s">
        <v>15</v>
      </c>
      <c r="D22" s="491">
        <v>2300000</v>
      </c>
      <c r="E22" s="491">
        <f>D22</f>
        <v>2300000</v>
      </c>
    </row>
    <row r="23" spans="1:10" ht="17.100000000000001" customHeight="1">
      <c r="B23" s="231"/>
      <c r="C23" s="351" t="s">
        <v>343</v>
      </c>
      <c r="D23" s="491">
        <f>(869087.61+126327.21+255638.13+16350+4450)-115000+108000+7000+30000+100000+50000</f>
        <v>1451852.95</v>
      </c>
      <c r="E23" s="491">
        <f>E22+D23</f>
        <v>3751852.95</v>
      </c>
    </row>
    <row r="24" spans="1:10" s="355" customFormat="1" ht="17.100000000000001" customHeight="1">
      <c r="B24" s="360"/>
      <c r="C24" s="359" t="s">
        <v>278</v>
      </c>
      <c r="D24" s="492">
        <f>-E23*10%</f>
        <v>-375185.29500000004</v>
      </c>
      <c r="E24" s="492">
        <f>E23+D24</f>
        <v>3376667.6550000003</v>
      </c>
      <c r="F24" s="441"/>
      <c r="G24" s="357"/>
      <c r="H24" s="356"/>
    </row>
    <row r="25" spans="1:10" ht="17.100000000000001" customHeight="1">
      <c r="B25" s="232"/>
      <c r="C25" s="74" t="s">
        <v>342</v>
      </c>
      <c r="D25" s="491">
        <f>E24*5%</f>
        <v>168833.38275000002</v>
      </c>
      <c r="E25" s="491">
        <f>E24+D25</f>
        <v>3545501.0377500001</v>
      </c>
    </row>
    <row r="26" spans="1:10" ht="17.100000000000001" customHeight="1" thickBot="1">
      <c r="B26" s="354"/>
      <c r="C26" s="353" t="s">
        <v>24</v>
      </c>
      <c r="D26" s="493">
        <f>-(217067.76+136753.68+85322.16+225289.68+146813.52+689850+552503.7)</f>
        <v>-2053600.5</v>
      </c>
      <c r="E26" s="493">
        <f>E25+D26</f>
        <v>1491900.5377500001</v>
      </c>
      <c r="F26" s="440">
        <f>D26+'Ledgers 23-08-2023'!$H$40</f>
        <v>0</v>
      </c>
      <c r="G26" s="302" t="s">
        <v>344</v>
      </c>
    </row>
    <row r="27" spans="1:10" ht="17.100000000000001" customHeight="1" thickBot="1">
      <c r="B27" s="234"/>
      <c r="C27" s="73" t="s">
        <v>12</v>
      </c>
      <c r="D27" s="494">
        <f>SUM(D22:D26)</f>
        <v>1491900.5377500001</v>
      </c>
      <c r="E27" s="494">
        <f>E26</f>
        <v>1491900.5377500001</v>
      </c>
      <c r="G27" s="284">
        <f>(306142.87+398953.8)</f>
        <v>705096.66999999993</v>
      </c>
      <c r="H27" s="284">
        <f>E27-G27</f>
        <v>786803.86775000021</v>
      </c>
      <c r="I27" s="35">
        <f>D26-G27</f>
        <v>-2758697.17</v>
      </c>
    </row>
    <row r="28" spans="1:10" s="8" customFormat="1" ht="5.0999999999999996" customHeight="1" thickBot="1">
      <c r="A28" s="64"/>
      <c r="B28" s="64"/>
      <c r="C28" s="64"/>
      <c r="D28" s="496"/>
      <c r="E28" s="496"/>
      <c r="F28" s="440"/>
      <c r="H28" s="283"/>
      <c r="I28" s="3"/>
      <c r="J28" s="3"/>
    </row>
    <row r="29" spans="1:10" ht="17.100000000000001" customHeight="1">
      <c r="B29" s="363" t="s">
        <v>363</v>
      </c>
      <c r="C29" s="362" t="s">
        <v>30</v>
      </c>
      <c r="D29" s="495"/>
      <c r="E29" s="495"/>
      <c r="G29" s="3"/>
    </row>
    <row r="30" spans="1:10" ht="17.100000000000001" customHeight="1">
      <c r="B30" s="231"/>
      <c r="C30" s="69" t="s">
        <v>15</v>
      </c>
      <c r="D30" s="491">
        <v>1500000</v>
      </c>
      <c r="E30" s="491">
        <f>D30</f>
        <v>1500000</v>
      </c>
    </row>
    <row r="31" spans="1:10" ht="17.100000000000001" customHeight="1">
      <c r="B31" s="231"/>
      <c r="C31" s="351" t="s">
        <v>343</v>
      </c>
      <c r="D31" s="491">
        <v>0</v>
      </c>
      <c r="E31" s="491">
        <f>E30+D31</f>
        <v>1500000</v>
      </c>
    </row>
    <row r="32" spans="1:10" s="355" customFormat="1" ht="17.100000000000001" customHeight="1">
      <c r="B32" s="360"/>
      <c r="C32" s="359" t="s">
        <v>278</v>
      </c>
      <c r="D32" s="492">
        <f>-D30*0%</f>
        <v>0</v>
      </c>
      <c r="E32" s="492">
        <f>E31+D32</f>
        <v>1500000</v>
      </c>
      <c r="F32" s="441"/>
      <c r="G32" s="357"/>
      <c r="H32" s="356"/>
    </row>
    <row r="33" spans="1:10" ht="17.100000000000001" customHeight="1">
      <c r="B33" s="232"/>
      <c r="C33" s="74" t="s">
        <v>342</v>
      </c>
      <c r="D33" s="491">
        <f>E32*5%</f>
        <v>75000</v>
      </c>
      <c r="E33" s="491">
        <f>E32+D33</f>
        <v>1575000</v>
      </c>
    </row>
    <row r="34" spans="1:10" ht="17.100000000000001" customHeight="1" thickBot="1">
      <c r="B34" s="354"/>
      <c r="C34" s="353" t="s">
        <v>24</v>
      </c>
      <c r="D34" s="493">
        <f>-(100000+100000+121528.9+254806.86+380127.67+450248.65+1078.78)</f>
        <v>-1407790.86</v>
      </c>
      <c r="E34" s="493">
        <f>E33+D34</f>
        <v>167209.1399999999</v>
      </c>
      <c r="F34" s="440">
        <f>+D34+'Ledgers 23-08-2023'!$H$54</f>
        <v>0</v>
      </c>
    </row>
    <row r="35" spans="1:10" ht="17.100000000000001" customHeight="1" thickBot="1">
      <c r="B35" s="234"/>
      <c r="C35" s="73" t="s">
        <v>12</v>
      </c>
      <c r="D35" s="494">
        <f>SUM(D30:D34)</f>
        <v>167209.1399999999</v>
      </c>
      <c r="E35" s="494">
        <f>E34</f>
        <v>167209.1399999999</v>
      </c>
    </row>
    <row r="36" spans="1:10" s="8" customFormat="1" ht="5.0999999999999996" customHeight="1" thickBot="1">
      <c r="A36" s="64"/>
      <c r="B36" s="64"/>
      <c r="C36" s="64"/>
      <c r="D36" s="496"/>
      <c r="E36" s="496"/>
      <c r="F36" s="440"/>
      <c r="G36" s="284"/>
      <c r="H36" s="283"/>
      <c r="I36" s="3"/>
      <c r="J36" s="3"/>
    </row>
    <row r="37" spans="1:10" ht="17.100000000000001" customHeight="1">
      <c r="B37" s="363" t="s">
        <v>364</v>
      </c>
      <c r="C37" s="362" t="s">
        <v>17</v>
      </c>
      <c r="D37" s="495"/>
      <c r="E37" s="495"/>
    </row>
    <row r="38" spans="1:10" ht="17.100000000000001" customHeight="1">
      <c r="B38" s="231"/>
      <c r="C38" s="69" t="s">
        <v>15</v>
      </c>
      <c r="D38" s="491">
        <v>1500000</v>
      </c>
      <c r="E38" s="491">
        <f>D38</f>
        <v>1500000</v>
      </c>
    </row>
    <row r="39" spans="1:10" ht="17.100000000000001" customHeight="1">
      <c r="B39" s="231"/>
      <c r="C39" s="351" t="s">
        <v>343</v>
      </c>
      <c r="D39" s="491">
        <v>0</v>
      </c>
      <c r="E39" s="491">
        <f t="shared" ref="E39:E44" si="0">E38+D39</f>
        <v>1500000</v>
      </c>
    </row>
    <row r="40" spans="1:10" s="355" customFormat="1" ht="17.100000000000001" customHeight="1">
      <c r="B40" s="360"/>
      <c r="C40" s="359" t="s">
        <v>278</v>
      </c>
      <c r="D40" s="492">
        <f>-D38*0%</f>
        <v>0</v>
      </c>
      <c r="E40" s="492">
        <f t="shared" si="0"/>
        <v>1500000</v>
      </c>
      <c r="F40" s="441"/>
      <c r="G40" s="357"/>
      <c r="H40" s="356"/>
    </row>
    <row r="41" spans="1:10" ht="17.100000000000001" customHeight="1">
      <c r="B41" s="232"/>
      <c r="C41" s="75" t="s">
        <v>342</v>
      </c>
      <c r="D41" s="497">
        <f>E40*5%</f>
        <v>75000</v>
      </c>
      <c r="E41" s="491">
        <f t="shared" si="0"/>
        <v>1575000</v>
      </c>
    </row>
    <row r="42" spans="1:10" ht="17.100000000000001" customHeight="1">
      <c r="B42" s="236"/>
      <c r="C42" s="72" t="s">
        <v>33</v>
      </c>
      <c r="D42" s="498">
        <v>-243644.1</v>
      </c>
      <c r="E42" s="491">
        <f t="shared" si="0"/>
        <v>1331355.8999999999</v>
      </c>
    </row>
    <row r="43" spans="1:10" ht="17.100000000000001" customHeight="1">
      <c r="B43" s="236"/>
      <c r="C43" s="72" t="s">
        <v>32</v>
      </c>
      <c r="D43" s="498">
        <v>-224070</v>
      </c>
      <c r="E43" s="491">
        <f t="shared" si="0"/>
        <v>1107285.8999999999</v>
      </c>
    </row>
    <row r="44" spans="1:10" ht="17.100000000000001" customHeight="1" thickBot="1">
      <c r="B44" s="354"/>
      <c r="C44" s="353" t="s">
        <v>24</v>
      </c>
      <c r="D44" s="493">
        <f>-(176470.56+243571.44+295742.79+129546.51+227509.3)</f>
        <v>-1072840.6000000001</v>
      </c>
      <c r="E44" s="493">
        <f t="shared" si="0"/>
        <v>34445.299999999814</v>
      </c>
      <c r="F44" s="440">
        <f>+D44+'Ledgers 23-08-2023'!$H$66</f>
        <v>0</v>
      </c>
    </row>
    <row r="45" spans="1:10" ht="17.100000000000001" customHeight="1" thickBot="1">
      <c r="B45" s="234"/>
      <c r="C45" s="73" t="s">
        <v>12</v>
      </c>
      <c r="D45" s="494">
        <f>SUM(D38:D44)</f>
        <v>34445.299999999814</v>
      </c>
      <c r="E45" s="494">
        <f>E44</f>
        <v>34445.299999999814</v>
      </c>
    </row>
    <row r="46" spans="1:10" ht="17.100000000000001" customHeight="1" thickBot="1">
      <c r="B46" s="237"/>
      <c r="C46" s="76"/>
      <c r="D46" s="499"/>
      <c r="E46" s="499"/>
    </row>
    <row r="47" spans="1:10" ht="17.100000000000001" customHeight="1" thickBot="1">
      <c r="B47" s="234"/>
      <c r="C47" s="73" t="s">
        <v>18</v>
      </c>
      <c r="D47" s="494">
        <f>D19+D27+D35+D45</f>
        <v>2699661.66775</v>
      </c>
      <c r="E47" s="494">
        <f>E19+E27+E35+E45</f>
        <v>2699661.66775</v>
      </c>
      <c r="G47" s="284">
        <f>G27</f>
        <v>705096.66999999993</v>
      </c>
      <c r="H47" s="446">
        <f>D70</f>
        <v>527024.9</v>
      </c>
      <c r="I47" s="446">
        <f>E47-G47-H47</f>
        <v>1467540.0977500002</v>
      </c>
    </row>
    <row r="48" spans="1:10" ht="5.0999999999999996" customHeight="1" thickBot="1">
      <c r="B48" s="3"/>
      <c r="C48" s="3"/>
      <c r="D48" s="500"/>
      <c r="E48" s="500"/>
      <c r="F48" s="443"/>
      <c r="G48" s="3"/>
      <c r="H48" s="3"/>
    </row>
    <row r="49" spans="2:10" ht="17.100000000000001" customHeight="1">
      <c r="B49" s="239"/>
      <c r="C49" s="77" t="s">
        <v>26</v>
      </c>
      <c r="D49" s="501">
        <f>SUM(D14,D22,D38,D30)</f>
        <v>6600000</v>
      </c>
      <c r="E49" s="501">
        <f>D49</f>
        <v>6600000</v>
      </c>
    </row>
    <row r="50" spans="2:10" ht="17.100000000000001" customHeight="1">
      <c r="B50" s="231"/>
      <c r="C50" s="351" t="s">
        <v>343</v>
      </c>
      <c r="D50" s="491">
        <f>SUM(D15,D23,D31,D39)</f>
        <v>2451852.9500000002</v>
      </c>
      <c r="E50" s="491">
        <f>E49+D50</f>
        <v>9051852.9499999993</v>
      </c>
    </row>
    <row r="51" spans="2:10" ht="17.100000000000001" customHeight="1">
      <c r="B51" s="350"/>
      <c r="C51" s="349" t="s">
        <v>104</v>
      </c>
      <c r="D51" s="502">
        <f>SUM(D40,D32,D24,D16)</f>
        <v>-605185.29500000004</v>
      </c>
      <c r="E51" s="502">
        <f>E50+D51</f>
        <v>8446667.6549999993</v>
      </c>
    </row>
    <row r="52" spans="2:10" ht="17.100000000000001" customHeight="1">
      <c r="B52" s="232"/>
      <c r="C52" s="74" t="s">
        <v>342</v>
      </c>
      <c r="D52" s="491">
        <f>SUM(D41,D33,D25,D17)</f>
        <v>422333.38274999999</v>
      </c>
      <c r="E52" s="491">
        <f>E51+D52</f>
        <v>8869001.0377500001</v>
      </c>
      <c r="G52" s="284">
        <f>D73</f>
        <v>7401460.9399999995</v>
      </c>
      <c r="H52" s="446">
        <f>E52-G52</f>
        <v>1467540.0977500007</v>
      </c>
      <c r="I52" s="35">
        <f>H52-D51</f>
        <v>2072725.3927500006</v>
      </c>
    </row>
    <row r="53" spans="2:10" ht="17.100000000000001" customHeight="1" thickBot="1">
      <c r="B53" s="236"/>
      <c r="C53" s="78" t="s">
        <v>107</v>
      </c>
      <c r="D53" s="498">
        <f>SUM(D18,D26,D34,D42:D44)</f>
        <v>-6169339.3699999992</v>
      </c>
      <c r="E53" s="498">
        <f>E52+D53</f>
        <v>2699661.667750001</v>
      </c>
    </row>
    <row r="54" spans="2:10" s="341" customFormat="1" ht="24.95" customHeight="1" thickBot="1">
      <c r="B54" s="347"/>
      <c r="C54" s="346" t="s">
        <v>34</v>
      </c>
      <c r="D54" s="503">
        <f>SUM(D49:D53)</f>
        <v>2699661.667750001</v>
      </c>
      <c r="E54" s="503">
        <f>E53</f>
        <v>2699661.667750001</v>
      </c>
      <c r="F54" s="439">
        <f>E54-E47</f>
        <v>0</v>
      </c>
      <c r="G54" s="344"/>
      <c r="H54" s="343"/>
      <c r="I54" s="342"/>
      <c r="J54" s="342"/>
    </row>
    <row r="55" spans="2:10" s="341" customFormat="1" ht="24.95" customHeight="1">
      <c r="B55" s="448"/>
      <c r="C55" s="447"/>
      <c r="D55" s="504"/>
      <c r="E55" s="504"/>
      <c r="F55" s="439"/>
      <c r="G55" s="344"/>
      <c r="H55" s="343"/>
      <c r="I55" s="342"/>
      <c r="J55" s="342"/>
    </row>
    <row r="56" spans="2:10" ht="15" thickBot="1">
      <c r="B56" s="17"/>
      <c r="C56" s="4"/>
      <c r="D56" s="505"/>
      <c r="E56" s="505"/>
    </row>
    <row r="57" spans="2:10" ht="16.5" customHeight="1">
      <c r="B57" s="239"/>
      <c r="C57" s="77" t="s">
        <v>26</v>
      </c>
      <c r="D57" s="501">
        <v>6600000</v>
      </c>
      <c r="E57" s="501">
        <f>D57</f>
        <v>6600000</v>
      </c>
    </row>
    <row r="58" spans="2:10" ht="17.100000000000001" customHeight="1">
      <c r="B58" s="231"/>
      <c r="C58" s="351" t="s">
        <v>343</v>
      </c>
      <c r="D58" s="491">
        <f>SUM(D15+D23+D31+D39)</f>
        <v>2451852.9500000002</v>
      </c>
      <c r="E58" s="491">
        <f>E57+D58</f>
        <v>9051852.9499999993</v>
      </c>
    </row>
    <row r="59" spans="2:10" ht="17.100000000000001" customHeight="1">
      <c r="B59" s="350"/>
      <c r="C59" s="349" t="s">
        <v>357</v>
      </c>
      <c r="D59" s="502">
        <f>SUM(D16,D24,D32,D40)</f>
        <v>-605185.29500000004</v>
      </c>
      <c r="E59" s="502">
        <f>E58+D59</f>
        <v>8446667.6549999993</v>
      </c>
    </row>
    <row r="60" spans="2:10" ht="17.100000000000001" customHeight="1">
      <c r="B60" s="232"/>
      <c r="C60" s="74" t="s">
        <v>342</v>
      </c>
      <c r="D60" s="491">
        <f>E59*5%</f>
        <v>422333.38274999999</v>
      </c>
      <c r="E60" s="491">
        <f>E59+D60</f>
        <v>8869001.0377500001</v>
      </c>
      <c r="G60" s="284">
        <f>E59*5%</f>
        <v>422333.38274999999</v>
      </c>
      <c r="H60" s="446"/>
      <c r="I60" s="35"/>
    </row>
    <row r="61" spans="2:10" ht="17.100000000000001" customHeight="1" thickBot="1">
      <c r="B61" s="236"/>
      <c r="C61" s="78"/>
      <c r="D61" s="498">
        <f>-SUM(D64:D72)</f>
        <v>-7401460.9399999995</v>
      </c>
      <c r="E61" s="498">
        <f>E60+D61</f>
        <v>1467540.0977500007</v>
      </c>
    </row>
    <row r="62" spans="2:10" s="341" customFormat="1" ht="24.95" customHeight="1" thickBot="1">
      <c r="B62" s="347"/>
      <c r="C62" s="346"/>
      <c r="D62" s="503">
        <f>SUM(D57:D61)</f>
        <v>1467540.0977500007</v>
      </c>
      <c r="E62" s="503">
        <f>E61</f>
        <v>1467540.0977500007</v>
      </c>
      <c r="F62" s="439"/>
      <c r="G62" s="344"/>
      <c r="H62" s="343"/>
      <c r="I62" s="342"/>
      <c r="J62" s="342"/>
    </row>
    <row r="63" spans="2:10" s="341" customFormat="1" ht="24.95" customHeight="1" thickBot="1">
      <c r="D63" s="506"/>
      <c r="E63" s="506"/>
      <c r="H63" s="343"/>
      <c r="I63" s="342"/>
      <c r="J63" s="342"/>
    </row>
    <row r="64" spans="2:10">
      <c r="B64" s="340"/>
      <c r="C64" s="339" t="s">
        <v>330</v>
      </c>
      <c r="D64" s="507">
        <f>'Payment Details.'!Z71</f>
        <v>700000</v>
      </c>
      <c r="E64" s="508">
        <f>D64</f>
        <v>700000</v>
      </c>
    </row>
    <row r="65" spans="2:8">
      <c r="B65" s="336"/>
      <c r="C65" s="335" t="s">
        <v>331</v>
      </c>
      <c r="D65" s="509">
        <f>'Payment Details.'!Z72</f>
        <v>200000</v>
      </c>
      <c r="E65" s="510">
        <f t="shared" ref="E65:E72" si="1">E64+D65</f>
        <v>900000</v>
      </c>
    </row>
    <row r="66" spans="2:8">
      <c r="B66" s="479"/>
      <c r="C66" s="480" t="s">
        <v>332</v>
      </c>
      <c r="D66" s="511">
        <f>'Payment Details.'!Z73</f>
        <v>3260450.1899999995</v>
      </c>
      <c r="E66" s="512">
        <f t="shared" si="1"/>
        <v>4160450.1899999995</v>
      </c>
    </row>
    <row r="67" spans="2:8" ht="15">
      <c r="B67" s="481"/>
      <c r="C67" s="482" t="s">
        <v>333</v>
      </c>
      <c r="D67" s="513">
        <f>'Payment Details.'!Z74</f>
        <v>851325.08000000007</v>
      </c>
      <c r="E67" s="514">
        <f t="shared" si="1"/>
        <v>5011775.2699999996</v>
      </c>
    </row>
    <row r="68" spans="2:8" ht="15">
      <c r="B68" s="220"/>
      <c r="C68" s="221" t="s">
        <v>334</v>
      </c>
      <c r="D68" s="515">
        <v>689850</v>
      </c>
      <c r="E68" s="516">
        <f t="shared" si="1"/>
        <v>5701625.2699999996</v>
      </c>
      <c r="F68" s="371">
        <f>E68-'Ledgers 23-08-2023'!$H$67</f>
        <v>0</v>
      </c>
    </row>
    <row r="69" spans="2:8" ht="15">
      <c r="B69" s="220"/>
      <c r="C69" s="221" t="s">
        <v>334</v>
      </c>
      <c r="D69" s="515">
        <f>G27</f>
        <v>705096.66999999993</v>
      </c>
      <c r="E69" s="516">
        <f t="shared" si="1"/>
        <v>6406721.9399999995</v>
      </c>
    </row>
    <row r="70" spans="2:8" ht="15">
      <c r="B70" s="220"/>
      <c r="C70" s="221" t="s">
        <v>356</v>
      </c>
      <c r="D70" s="515">
        <f>290000+237024.9</f>
        <v>527024.9</v>
      </c>
      <c r="E70" s="516">
        <f t="shared" si="1"/>
        <v>6933746.8399999999</v>
      </c>
    </row>
    <row r="71" spans="2:8" ht="15">
      <c r="B71" s="220"/>
      <c r="C71" s="221" t="s">
        <v>366</v>
      </c>
      <c r="D71" s="515">
        <v>243644.1</v>
      </c>
      <c r="E71" s="516">
        <f t="shared" si="1"/>
        <v>7177390.9399999995</v>
      </c>
    </row>
    <row r="72" spans="2:8" ht="15.75" thickBot="1">
      <c r="B72" s="265"/>
      <c r="C72" s="266" t="s">
        <v>365</v>
      </c>
      <c r="D72" s="517">
        <v>224070</v>
      </c>
      <c r="E72" s="518">
        <f t="shared" si="1"/>
        <v>7401460.9399999995</v>
      </c>
    </row>
    <row r="73" spans="2:8" s="19" customFormat="1" ht="20.100000000000001" customHeight="1" thickBot="1">
      <c r="B73" s="245"/>
      <c r="C73" s="246" t="str">
        <f>'Payment Details.'!N76</f>
        <v>Total</v>
      </c>
      <c r="D73" s="519">
        <f>SUM(D64:D72)</f>
        <v>7401460.9399999995</v>
      </c>
      <c r="E73" s="520">
        <f>E72</f>
        <v>7401460.9399999995</v>
      </c>
      <c r="G73" s="286"/>
      <c r="H73" s="289"/>
    </row>
    <row r="74" spans="2:8" s="19" customFormat="1" ht="20.100000000000001" customHeight="1">
      <c r="B74" s="6"/>
      <c r="C74" s="259"/>
      <c r="D74" s="433"/>
      <c r="E74" s="434"/>
      <c r="F74" s="442"/>
      <c r="G74" s="435"/>
      <c r="H74" s="289"/>
    </row>
    <row r="75" spans="2:8" s="19" customFormat="1" ht="20.100000000000001" customHeight="1">
      <c r="B75" s="6"/>
      <c r="C75" s="259"/>
      <c r="D75" s="433"/>
      <c r="E75" s="434"/>
      <c r="F75" s="442"/>
      <c r="G75" s="435"/>
      <c r="H75" s="289"/>
    </row>
    <row r="76" spans="2:8" s="19" customFormat="1" ht="20.100000000000001" customHeight="1">
      <c r="B76" s="6"/>
      <c r="C76" s="259"/>
      <c r="D76" s="433"/>
      <c r="E76" s="434"/>
      <c r="F76" s="442"/>
      <c r="G76" s="435"/>
      <c r="H76" s="289"/>
    </row>
    <row r="77" spans="2:8" s="19" customFormat="1" ht="20.100000000000001" customHeight="1">
      <c r="B77" s="6"/>
      <c r="C77" s="259"/>
      <c r="D77" s="433"/>
      <c r="E77" s="434"/>
      <c r="F77" s="442"/>
      <c r="G77" s="435"/>
      <c r="H77" s="289"/>
    </row>
    <row r="78" spans="2:8" s="19" customFormat="1" ht="20.100000000000001" customHeight="1">
      <c r="B78" s="6"/>
      <c r="C78" s="259"/>
      <c r="D78" s="433"/>
      <c r="E78" s="434"/>
      <c r="F78" s="442"/>
      <c r="G78" s="435"/>
      <c r="H78" s="289"/>
    </row>
    <row r="79" spans="2:8" s="19" customFormat="1" ht="20.100000000000001" customHeight="1">
      <c r="B79" s="6"/>
      <c r="C79" s="259"/>
      <c r="D79" s="433"/>
      <c r="E79" s="434"/>
      <c r="F79" s="442"/>
      <c r="G79" s="435"/>
      <c r="H79" s="289"/>
    </row>
    <row r="80" spans="2:8" s="19" customFormat="1" ht="15.75" customHeight="1" thickBot="1">
      <c r="B80" s="6"/>
      <c r="C80" s="259"/>
      <c r="D80" s="323"/>
      <c r="E80" s="436"/>
      <c r="F80" s="442"/>
      <c r="G80" s="435"/>
      <c r="H80" s="289"/>
    </row>
    <row r="81" spans="2:8" ht="20.100000000000001" customHeight="1">
      <c r="B81" s="261"/>
      <c r="C81" s="322" t="s">
        <v>285</v>
      </c>
      <c r="D81" s="263"/>
      <c r="E81" s="263"/>
      <c r="G81" s="286"/>
      <c r="H81" s="285"/>
    </row>
    <row r="82" spans="2:8" ht="15">
      <c r="B82" s="224"/>
      <c r="C82" s="220" t="s">
        <v>335</v>
      </c>
      <c r="D82" s="320">
        <v>243644.1</v>
      </c>
      <c r="E82" s="319"/>
      <c r="G82" s="286"/>
      <c r="H82" s="285"/>
    </row>
    <row r="83" spans="2:8" ht="15">
      <c r="B83" s="224"/>
      <c r="C83" s="220" t="s">
        <v>337</v>
      </c>
      <c r="D83" s="320">
        <v>37800</v>
      </c>
      <c r="E83" s="320"/>
      <c r="G83" s="287"/>
      <c r="H83" s="285"/>
    </row>
    <row r="84" spans="2:8" ht="15">
      <c r="B84" s="306" t="s">
        <v>329</v>
      </c>
      <c r="C84" s="220" t="s">
        <v>336</v>
      </c>
      <c r="D84" s="321">
        <v>246246</v>
      </c>
      <c r="E84" s="321">
        <v>224070</v>
      </c>
      <c r="G84" s="288">
        <f>D84-E84</f>
        <v>22176</v>
      </c>
      <c r="H84" s="285"/>
    </row>
    <row r="85" spans="2:8" ht="15">
      <c r="B85" s="224"/>
      <c r="C85" s="220" t="s">
        <v>338</v>
      </c>
      <c r="D85" s="320">
        <f>290000+237024.9</f>
        <v>527024.9</v>
      </c>
      <c r="E85" s="320"/>
      <c r="G85" s="287"/>
      <c r="H85" s="285"/>
    </row>
    <row r="86" spans="2:8" ht="15">
      <c r="B86" s="224"/>
      <c r="C86" s="220" t="s">
        <v>339</v>
      </c>
      <c r="D86" s="320">
        <f>180698.55+42306.6+(48300+71478.63)</f>
        <v>342783.78</v>
      </c>
      <c r="E86" s="320"/>
      <c r="G86" s="287"/>
      <c r="H86" s="285"/>
    </row>
    <row r="87" spans="2:8" ht="15">
      <c r="B87" s="224"/>
      <c r="C87" s="220" t="s">
        <v>340</v>
      </c>
      <c r="D87" s="320">
        <v>398953.8</v>
      </c>
      <c r="E87" s="320"/>
      <c r="G87" s="287"/>
      <c r="H87" s="285"/>
    </row>
    <row r="88" spans="2:8" ht="15">
      <c r="B88" s="224"/>
      <c r="C88" s="220" t="s">
        <v>341</v>
      </c>
      <c r="D88" s="320">
        <f>6508.57+3074.95</f>
        <v>9583.52</v>
      </c>
      <c r="E88" s="320"/>
      <c r="G88" s="287"/>
      <c r="H88" s="285"/>
    </row>
    <row r="89" spans="2:8">
      <c r="B89" s="224"/>
      <c r="C89" s="221" t="s">
        <v>280</v>
      </c>
      <c r="D89" s="320">
        <v>20212.5</v>
      </c>
      <c r="E89" s="319"/>
      <c r="G89" s="286"/>
      <c r="H89" s="285"/>
    </row>
    <row r="90" spans="2:8" ht="15" thickBot="1">
      <c r="B90" s="264"/>
      <c r="C90" s="265" t="s">
        <v>284</v>
      </c>
      <c r="D90" s="318">
        <v>395.02</v>
      </c>
      <c r="E90" s="317"/>
      <c r="G90" s="286"/>
      <c r="H90" s="285"/>
    </row>
    <row r="91" spans="2:8" s="194" customFormat="1" ht="20.100000000000001" customHeight="1" thickBot="1">
      <c r="B91" s="250"/>
      <c r="C91" s="250" t="s">
        <v>116</v>
      </c>
      <c r="D91" s="316">
        <f>SUM(D73:D90)</f>
        <v>9228104.5599999987</v>
      </c>
      <c r="E91" s="315"/>
      <c r="F91" s="371"/>
      <c r="G91" s="286">
        <v>7528267.9500000002</v>
      </c>
      <c r="H91" s="285"/>
    </row>
    <row r="92" spans="2:8">
      <c r="G92" s="284">
        <f>D91-G91</f>
        <v>1699836.6099999985</v>
      </c>
    </row>
    <row r="93" spans="2:8" ht="15">
      <c r="B93" s="4" t="s">
        <v>9</v>
      </c>
      <c r="E93" s="314"/>
    </row>
    <row r="94" spans="2:8" ht="15">
      <c r="B94" s="4" t="s">
        <v>10</v>
      </c>
      <c r="E94" s="314"/>
    </row>
    <row r="95" spans="2:8" ht="15">
      <c r="B95" s="4" t="s">
        <v>28</v>
      </c>
      <c r="D95" s="314"/>
      <c r="E95" s="314"/>
    </row>
    <row r="96" spans="2:8" ht="15">
      <c r="B96" s="4" t="s">
        <v>29</v>
      </c>
      <c r="D96" s="314"/>
      <c r="E96" s="314"/>
    </row>
    <row r="97" spans="1:14" ht="18">
      <c r="B97" s="15" t="s">
        <v>21</v>
      </c>
    </row>
    <row r="98" spans="1:14">
      <c r="D98" s="281">
        <f>E52</f>
        <v>8869001.0377500001</v>
      </c>
    </row>
    <row r="99" spans="1:14">
      <c r="D99" s="281">
        <f>D98-D91</f>
        <v>-359103.52224999852</v>
      </c>
    </row>
    <row r="102" spans="1:14" ht="17.100000000000001" customHeight="1">
      <c r="B102" s="308" t="s">
        <v>327</v>
      </c>
      <c r="C102" s="309" t="s">
        <v>30</v>
      </c>
      <c r="D102" s="310"/>
      <c r="E102" s="310"/>
    </row>
    <row r="103" spans="1:14" ht="17.100000000000001" customHeight="1">
      <c r="B103" s="311"/>
      <c r="C103" s="312" t="s">
        <v>106</v>
      </c>
      <c r="D103" s="313">
        <v>10274.200000000001</v>
      </c>
      <c r="E103" s="313"/>
    </row>
    <row r="104" spans="1:14" s="64" customFormat="1" ht="5.25" customHeight="1">
      <c r="A104" s="3"/>
      <c r="B104" s="2"/>
      <c r="C104" s="2"/>
      <c r="D104" s="281"/>
      <c r="E104" s="281"/>
      <c r="F104" s="440"/>
      <c r="G104" s="284"/>
      <c r="H104" s="283"/>
      <c r="I104" s="3"/>
      <c r="J104" s="3"/>
      <c r="K104" s="3"/>
      <c r="L104" s="3"/>
      <c r="M104" s="3"/>
      <c r="N104" s="3"/>
    </row>
    <row r="105" spans="1:14" s="64" customFormat="1" ht="17.100000000000001" customHeight="1">
      <c r="A105" s="3"/>
      <c r="B105" s="308" t="s">
        <v>328</v>
      </c>
      <c r="C105" s="309" t="s">
        <v>17</v>
      </c>
      <c r="D105" s="310"/>
      <c r="E105" s="310"/>
      <c r="F105" s="440"/>
      <c r="G105" s="284"/>
      <c r="H105" s="283"/>
      <c r="I105" s="3"/>
      <c r="J105" s="3"/>
      <c r="K105" s="3"/>
      <c r="L105" s="3"/>
      <c r="M105" s="3"/>
      <c r="N105" s="3"/>
    </row>
    <row r="106" spans="1:14" s="64" customFormat="1" ht="17.100000000000001" customHeight="1">
      <c r="A106" s="3"/>
      <c r="B106" s="311"/>
      <c r="C106" s="312" t="s">
        <v>106</v>
      </c>
      <c r="D106" s="313">
        <v>14627.23</v>
      </c>
      <c r="E106" s="313"/>
      <c r="F106" s="440"/>
      <c r="G106" s="284"/>
      <c r="H106" s="283"/>
      <c r="I106" s="3"/>
      <c r="J106" s="3"/>
      <c r="K106" s="3"/>
      <c r="L106" s="3"/>
      <c r="M106" s="3"/>
      <c r="N106" s="3"/>
    </row>
  </sheetData>
  <mergeCells count="2">
    <mergeCell ref="D2:E2"/>
    <mergeCell ref="D3:E3"/>
  </mergeCells>
  <printOptions horizontalCentered="1"/>
  <pageMargins left="0" right="0.25" top="1.49" bottom="0" header="0.3" footer="0"/>
  <pageSetup paperSize="9" scale="72" orientation="portrait" r:id="rId1"/>
  <headerFooter>
    <oddHeader>&amp;C&amp;G</oddHeader>
    <oddFooter>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22"/>
  <sheetViews>
    <sheetView zoomScaleNormal="100" workbookViewId="0">
      <selection activeCell="E2" sqref="E2"/>
    </sheetView>
  </sheetViews>
  <sheetFormatPr defaultRowHeight="15"/>
  <cols>
    <col min="1" max="1" width="14" style="2" customWidth="1"/>
    <col min="2" max="2" width="71" style="2" customWidth="1"/>
    <col min="3" max="3" width="16.85546875" style="281" bestFit="1" customWidth="1"/>
    <col min="4" max="4" width="16.140625" style="281" bestFit="1" customWidth="1"/>
  </cols>
  <sheetData>
    <row r="1" spans="2:39" ht="15.75" thickBot="1"/>
    <row r="2" spans="2:39" s="22" customFormat="1" ht="45" customHeight="1" thickBot="1">
      <c r="B2" s="137" t="s">
        <v>119</v>
      </c>
      <c r="C2" s="227" t="s">
        <v>345</v>
      </c>
      <c r="D2" s="478" t="s">
        <v>31</v>
      </c>
      <c r="E2" s="440"/>
      <c r="F2" s="284"/>
      <c r="G2" s="28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2:39" s="3" customFormat="1" ht="16.5" customHeight="1">
      <c r="B3" s="477" t="s">
        <v>26</v>
      </c>
      <c r="C3" s="476">
        <v>6600000</v>
      </c>
      <c r="D3" s="475">
        <f>C3</f>
        <v>6600000</v>
      </c>
      <c r="E3" s="284"/>
      <c r="F3" s="283"/>
    </row>
    <row r="4" spans="2:39" s="3" customFormat="1" ht="17.100000000000001" customHeight="1">
      <c r="B4" s="474" t="s">
        <v>343</v>
      </c>
      <c r="C4" s="473">
        <v>2451852.9500000002</v>
      </c>
      <c r="D4" s="470">
        <f>D3+C4</f>
        <v>9051852.9499999993</v>
      </c>
      <c r="E4" s="284"/>
      <c r="F4" s="283"/>
    </row>
    <row r="5" spans="2:39" s="342" customFormat="1" ht="17.100000000000001" customHeight="1">
      <c r="B5" s="485" t="s">
        <v>357</v>
      </c>
      <c r="C5" s="486">
        <v>-605185.29500000004</v>
      </c>
      <c r="D5" s="484">
        <f>D4+C5</f>
        <v>8446667.6549999993</v>
      </c>
      <c r="E5" s="344"/>
      <c r="F5" s="343"/>
    </row>
    <row r="6" spans="2:39" s="3" customFormat="1" ht="17.100000000000001" customHeight="1">
      <c r="B6" s="472" t="s">
        <v>342</v>
      </c>
      <c r="C6" s="471">
        <v>422333.38274999999</v>
      </c>
      <c r="D6" s="470">
        <f>D5+C6</f>
        <v>8869001.0377500001</v>
      </c>
      <c r="E6" s="284"/>
      <c r="F6" s="446"/>
      <c r="G6" s="35"/>
    </row>
    <row r="7" spans="2:39" s="3" customFormat="1" ht="17.100000000000001" customHeight="1" thickBot="1">
      <c r="B7" s="469" t="s">
        <v>358</v>
      </c>
      <c r="C7" s="468">
        <v>-7401460.9399999995</v>
      </c>
      <c r="D7" s="467">
        <f>D6+C7</f>
        <v>1467540.0977500007</v>
      </c>
      <c r="E7" s="284"/>
      <c r="F7" s="283"/>
    </row>
    <row r="8" spans="2:39" s="341" customFormat="1" ht="30" customHeight="1" thickBot="1">
      <c r="B8" s="451" t="s">
        <v>12</v>
      </c>
      <c r="C8" s="450">
        <f>SUM(C3:C7)</f>
        <v>1467540.0977500007</v>
      </c>
      <c r="D8" s="449">
        <f>D7</f>
        <v>1467540.0977500007</v>
      </c>
      <c r="E8" s="344"/>
      <c r="F8" s="343"/>
      <c r="G8" s="342"/>
      <c r="H8" s="342"/>
    </row>
    <row r="9" spans="2:39" s="341" customFormat="1" ht="9.9499999999999993" customHeight="1" thickBot="1">
      <c r="G9" s="342"/>
      <c r="H9" s="342"/>
    </row>
    <row r="10" spans="2:39" s="341" customFormat="1" ht="24.95" customHeight="1" thickBot="1">
      <c r="B10" s="487" t="s">
        <v>357</v>
      </c>
      <c r="C10" s="488">
        <f>-C5</f>
        <v>605185.29500000004</v>
      </c>
      <c r="D10" s="489">
        <f>D8+C10</f>
        <v>2072725.3927500006</v>
      </c>
      <c r="E10" s="344"/>
      <c r="F10" s="343"/>
      <c r="G10" s="342"/>
      <c r="H10" s="342"/>
    </row>
    <row r="11" spans="2:39" s="341" customFormat="1" ht="24.95" customHeight="1" thickBot="1">
      <c r="B11" s="451" t="s">
        <v>360</v>
      </c>
      <c r="C11" s="483">
        <f>SUM(C8,C10)</f>
        <v>2072725.3927500006</v>
      </c>
      <c r="D11" s="449">
        <f>D10</f>
        <v>2072725.3927500006</v>
      </c>
      <c r="E11" s="344"/>
      <c r="F11" s="343"/>
      <c r="G11" s="342"/>
      <c r="H11" s="342"/>
    </row>
    <row r="12" spans="2:39" s="341" customFormat="1" ht="20.100000000000001" customHeight="1" thickBot="1">
      <c r="G12" s="342"/>
      <c r="H12" s="342"/>
    </row>
    <row r="13" spans="2:39" s="3" customFormat="1" ht="20.100000000000001" customHeight="1">
      <c r="B13" s="466" t="s">
        <v>330</v>
      </c>
      <c r="C13" s="465">
        <v>700000</v>
      </c>
      <c r="D13" s="464">
        <f>C13</f>
        <v>700000</v>
      </c>
      <c r="E13" s="284"/>
      <c r="F13" s="283"/>
    </row>
    <row r="14" spans="2:39" s="3" customFormat="1" ht="20.100000000000001" customHeight="1">
      <c r="B14" s="463" t="s">
        <v>331</v>
      </c>
      <c r="C14" s="462">
        <v>200000</v>
      </c>
      <c r="D14" s="461">
        <f t="shared" ref="D14:D21" si="0">D13+C14</f>
        <v>900000</v>
      </c>
      <c r="E14" s="284"/>
      <c r="F14" s="283"/>
    </row>
    <row r="15" spans="2:39" s="3" customFormat="1" ht="20.100000000000001" customHeight="1">
      <c r="B15" s="460" t="s">
        <v>332</v>
      </c>
      <c r="C15" s="459">
        <v>3260450.1899999995</v>
      </c>
      <c r="D15" s="458">
        <f t="shared" si="0"/>
        <v>4160450.1899999995</v>
      </c>
      <c r="E15" s="284"/>
      <c r="F15" s="283"/>
    </row>
    <row r="16" spans="2:39" s="3" customFormat="1" ht="20.100000000000001" customHeight="1">
      <c r="B16" s="457" t="s">
        <v>333</v>
      </c>
      <c r="C16" s="456">
        <v>851325.08000000007</v>
      </c>
      <c r="D16" s="455">
        <f t="shared" si="0"/>
        <v>5011775.2699999996</v>
      </c>
      <c r="E16" s="284"/>
      <c r="F16" s="283"/>
    </row>
    <row r="17" spans="2:8" s="3" customFormat="1" ht="20.100000000000001" customHeight="1">
      <c r="B17" s="457" t="s">
        <v>334</v>
      </c>
      <c r="C17" s="456">
        <v>689850</v>
      </c>
      <c r="D17" s="455">
        <f t="shared" si="0"/>
        <v>5701625.2699999996</v>
      </c>
      <c r="E17" s="284"/>
      <c r="F17" s="283"/>
    </row>
    <row r="18" spans="2:8" s="3" customFormat="1" ht="20.100000000000001" customHeight="1">
      <c r="B18" s="457" t="s">
        <v>334</v>
      </c>
      <c r="C18" s="456">
        <v>705096.66999999993</v>
      </c>
      <c r="D18" s="455">
        <f t="shared" si="0"/>
        <v>6406721.9399999995</v>
      </c>
      <c r="E18" s="284"/>
      <c r="F18" s="283"/>
    </row>
    <row r="19" spans="2:8" s="3" customFormat="1" ht="20.100000000000001" customHeight="1">
      <c r="B19" s="457" t="s">
        <v>356</v>
      </c>
      <c r="C19" s="456">
        <v>527024.9</v>
      </c>
      <c r="D19" s="455">
        <f t="shared" si="0"/>
        <v>6933746.8399999999</v>
      </c>
      <c r="E19" s="284"/>
      <c r="F19" s="283"/>
    </row>
    <row r="20" spans="2:8" s="3" customFormat="1" ht="20.100000000000001" customHeight="1">
      <c r="B20" s="457" t="s">
        <v>33</v>
      </c>
      <c r="C20" s="456">
        <v>243644.1</v>
      </c>
      <c r="D20" s="455">
        <f t="shared" si="0"/>
        <v>7177390.9399999995</v>
      </c>
      <c r="E20" s="284"/>
      <c r="F20" s="283"/>
    </row>
    <row r="21" spans="2:8" s="3" customFormat="1" ht="20.100000000000001" customHeight="1" thickBot="1">
      <c r="B21" s="454" t="s">
        <v>355</v>
      </c>
      <c r="C21" s="453">
        <v>224070</v>
      </c>
      <c r="D21" s="452">
        <f t="shared" si="0"/>
        <v>7401460.9399999995</v>
      </c>
      <c r="E21" s="284"/>
      <c r="F21" s="283"/>
    </row>
    <row r="22" spans="2:8" s="341" customFormat="1" ht="30" customHeight="1" thickBot="1">
      <c r="B22" s="451" t="s">
        <v>12</v>
      </c>
      <c r="C22" s="450">
        <f>SUM(C13:C21)</f>
        <v>7401460.9399999995</v>
      </c>
      <c r="D22" s="449">
        <f>D21</f>
        <v>7401460.9399999995</v>
      </c>
      <c r="E22" s="344"/>
      <c r="F22" s="343"/>
      <c r="G22" s="342"/>
      <c r="H22" s="342"/>
    </row>
  </sheetData>
  <printOptions horizontalCentered="1"/>
  <pageMargins left="0" right="0" top="0.75" bottom="0.75" header="0.3" footer="0.3"/>
  <pageSetup paperSize="9" scale="85" orientation="portrait" r:id="rId1"/>
  <colBreaks count="1" manualBreakCount="1">
    <brk id="4" min="1" max="1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:AN94"/>
  <sheetViews>
    <sheetView topLeftCell="A37" zoomScaleNormal="100" zoomScaleSheetLayoutView="100" workbookViewId="0">
      <selection activeCell="D16" sqref="D16"/>
    </sheetView>
  </sheetViews>
  <sheetFormatPr defaultColWidth="9.140625" defaultRowHeight="14.25"/>
  <cols>
    <col min="1" max="1" width="9.140625" style="3"/>
    <col min="2" max="2" width="14" style="2" customWidth="1"/>
    <col min="3" max="3" width="71" style="2" customWidth="1"/>
    <col min="4" max="4" width="16.28515625" style="281" customWidth="1"/>
    <col min="5" max="5" width="16.140625" style="281" bestFit="1" customWidth="1"/>
    <col min="6" max="6" width="4.42578125" style="440" bestFit="1" customWidth="1"/>
    <col min="7" max="7" width="12.85546875" style="284" bestFit="1" customWidth="1"/>
    <col min="8" max="8" width="12.85546875" style="283" bestFit="1" customWidth="1"/>
    <col min="9" max="9" width="5.140625" style="3" bestFit="1" customWidth="1"/>
    <col min="10" max="10" width="14.28515625" style="3" bestFit="1" customWidth="1"/>
    <col min="11" max="11" width="12.7109375" style="3" bestFit="1" customWidth="1"/>
    <col min="12" max="12" width="11.5703125" style="3" customWidth="1"/>
    <col min="13" max="16384" width="9.140625" style="3"/>
  </cols>
  <sheetData>
    <row r="2" spans="1:40" s="21" customFormat="1" ht="23.25" customHeight="1">
      <c r="B2" s="21" t="s">
        <v>279</v>
      </c>
      <c r="C2" s="190"/>
      <c r="D2" s="717" t="s">
        <v>352</v>
      </c>
      <c r="E2" s="717"/>
      <c r="F2" s="371"/>
      <c r="G2" s="304"/>
      <c r="H2" s="303"/>
    </row>
    <row r="3" spans="1:40" ht="13.9" customHeight="1">
      <c r="B3" s="4" t="s">
        <v>351</v>
      </c>
      <c r="C3" s="1"/>
      <c r="D3" s="712"/>
      <c r="E3" s="712"/>
    </row>
    <row r="4" spans="1:40">
      <c r="B4" s="3" t="s">
        <v>350</v>
      </c>
      <c r="C4" s="3"/>
      <c r="D4" s="369" t="s">
        <v>6</v>
      </c>
      <c r="E4" s="437">
        <f ca="1">TODAY()</f>
        <v>45298</v>
      </c>
    </row>
    <row r="5" spans="1:40">
      <c r="B5" s="3" t="s">
        <v>23</v>
      </c>
      <c r="C5" s="3"/>
      <c r="D5" s="370" t="s">
        <v>5</v>
      </c>
      <c r="E5" s="369"/>
    </row>
    <row r="6" spans="1:40" ht="15">
      <c r="B6" s="6"/>
      <c r="C6" s="181"/>
      <c r="D6" s="270"/>
      <c r="E6" s="270"/>
    </row>
    <row r="7" spans="1:40" ht="15">
      <c r="B7" s="6" t="s">
        <v>349</v>
      </c>
      <c r="D7" s="368" t="s">
        <v>3</v>
      </c>
      <c r="E7" s="314">
        <f>E54</f>
        <v>2127606.227500001</v>
      </c>
    </row>
    <row r="8" spans="1:40">
      <c r="B8" s="4" t="s">
        <v>348</v>
      </c>
      <c r="D8" s="367" t="s">
        <v>236</v>
      </c>
      <c r="E8" s="438">
        <f ca="1">E4</f>
        <v>45298</v>
      </c>
    </row>
    <row r="9" spans="1:40">
      <c r="B9" s="4" t="s">
        <v>347</v>
      </c>
      <c r="D9" s="37"/>
      <c r="E9" s="37"/>
    </row>
    <row r="10" spans="1:40" ht="6.75" customHeight="1" thickBot="1">
      <c r="B10" s="6"/>
      <c r="C10" s="4"/>
      <c r="D10" s="37"/>
      <c r="E10" s="37"/>
    </row>
    <row r="11" spans="1:40" s="22" customFormat="1" ht="45" customHeight="1" thickBot="1">
      <c r="B11" s="138" t="s">
        <v>346</v>
      </c>
      <c r="C11" s="227" t="s">
        <v>119</v>
      </c>
      <c r="D11" s="366" t="s">
        <v>345</v>
      </c>
      <c r="E11" s="366" t="s">
        <v>31</v>
      </c>
      <c r="F11" s="440"/>
      <c r="G11" s="284"/>
      <c r="H11" s="28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s="143" customFormat="1" ht="5.0999999999999996" customHeight="1" thickBot="1">
      <c r="A12" s="64"/>
      <c r="B12" s="64"/>
      <c r="C12" s="64"/>
      <c r="D12" s="64"/>
      <c r="E12" s="64"/>
      <c r="F12" s="440"/>
      <c r="G12" s="284"/>
      <c r="H12" s="28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7.100000000000001" customHeight="1">
      <c r="B13" s="363" t="s">
        <v>325</v>
      </c>
      <c r="C13" s="364" t="s">
        <v>16</v>
      </c>
      <c r="D13" s="361"/>
      <c r="E13" s="361"/>
    </row>
    <row r="14" spans="1:40" ht="17.100000000000001" customHeight="1">
      <c r="B14" s="231"/>
      <c r="C14" s="69" t="s">
        <v>15</v>
      </c>
      <c r="D14" s="29">
        <v>1300000</v>
      </c>
      <c r="E14" s="29">
        <f>D14</f>
        <v>1300000</v>
      </c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</row>
    <row r="15" spans="1:40" ht="17.100000000000001" customHeight="1">
      <c r="B15" s="231"/>
      <c r="C15" s="351" t="s">
        <v>343</v>
      </c>
      <c r="D15" s="29">
        <v>0</v>
      </c>
      <c r="E15" s="29">
        <f>SUM(E14,D15)</f>
        <v>1300000</v>
      </c>
    </row>
    <row r="16" spans="1:40" s="355" customFormat="1" ht="17.100000000000001" customHeight="1">
      <c r="B16" s="360"/>
      <c r="C16" s="359" t="s">
        <v>278</v>
      </c>
      <c r="D16" s="358">
        <f>-D14*0%</f>
        <v>0</v>
      </c>
      <c r="E16" s="358">
        <f>SUM(E15,D16)</f>
        <v>1300000</v>
      </c>
      <c r="F16" s="441"/>
      <c r="G16" s="357"/>
      <c r="H16" s="356"/>
    </row>
    <row r="17" spans="1:10" ht="17.100000000000001" customHeight="1">
      <c r="B17" s="232"/>
      <c r="C17" s="71" t="s">
        <v>342</v>
      </c>
      <c r="D17" s="29">
        <f>E16*5%</f>
        <v>65000</v>
      </c>
      <c r="E17" s="29">
        <f>SUM(E16,D17)</f>
        <v>1365000</v>
      </c>
    </row>
    <row r="18" spans="1:10" ht="17.100000000000001" customHeight="1" thickBot="1">
      <c r="B18" s="354"/>
      <c r="C18" s="353" t="s">
        <v>24</v>
      </c>
      <c r="D18" s="352">
        <f>-(797160.01+50000+250000+70233.3)</f>
        <v>-1167393.31</v>
      </c>
      <c r="E18" s="352">
        <f>SUM(E17,D18)</f>
        <v>197606.68999999994</v>
      </c>
      <c r="F18" s="440">
        <f>D18+'Ledgers 23-08-2023'!$H$21</f>
        <v>0</v>
      </c>
    </row>
    <row r="19" spans="1:10" ht="17.100000000000001" customHeight="1" thickBot="1">
      <c r="B19" s="234"/>
      <c r="C19" s="73" t="s">
        <v>12</v>
      </c>
      <c r="D19" s="31">
        <f>SUM(D14:D18)</f>
        <v>197606.68999999994</v>
      </c>
      <c r="E19" s="31">
        <f>E18</f>
        <v>197606.68999999994</v>
      </c>
    </row>
    <row r="20" spans="1:10" s="8" customFormat="1" ht="5.0999999999999996" customHeight="1" thickBot="1">
      <c r="A20" s="64"/>
      <c r="B20" s="64"/>
      <c r="C20" s="64"/>
      <c r="D20" s="64"/>
      <c r="E20" s="64"/>
      <c r="F20" s="440"/>
      <c r="G20" s="284"/>
      <c r="H20" s="283"/>
      <c r="I20" s="3"/>
      <c r="J20" s="3"/>
    </row>
    <row r="21" spans="1:10" ht="17.100000000000001" customHeight="1">
      <c r="B21" s="363" t="s">
        <v>326</v>
      </c>
      <c r="C21" s="364" t="s">
        <v>27</v>
      </c>
      <c r="D21" s="361"/>
      <c r="E21" s="361"/>
    </row>
    <row r="22" spans="1:10" ht="17.100000000000001" customHeight="1">
      <c r="B22" s="231"/>
      <c r="C22" s="69" t="s">
        <v>15</v>
      </c>
      <c r="D22" s="29">
        <v>2300000</v>
      </c>
      <c r="E22" s="29">
        <f>D22</f>
        <v>2300000</v>
      </c>
    </row>
    <row r="23" spans="1:10" ht="17.100000000000001" customHeight="1">
      <c r="B23" s="231"/>
      <c r="C23" s="351" t="s">
        <v>343</v>
      </c>
      <c r="D23" s="29">
        <f>(869087.61+126327.21+255638.13+16350+4450)-115000+108000+7000+30000</f>
        <v>1301852.95</v>
      </c>
      <c r="E23" s="29">
        <f>E22+D23</f>
        <v>3601852.95</v>
      </c>
    </row>
    <row r="24" spans="1:10" s="355" customFormat="1" ht="17.100000000000001" customHeight="1">
      <c r="B24" s="360"/>
      <c r="C24" s="359" t="s">
        <v>278</v>
      </c>
      <c r="D24" s="358">
        <f>-D22*0%</f>
        <v>0</v>
      </c>
      <c r="E24" s="358">
        <f>E23+D24</f>
        <v>3601852.95</v>
      </c>
      <c r="F24" s="441"/>
      <c r="G24" s="357"/>
      <c r="H24" s="356"/>
    </row>
    <row r="25" spans="1:10" ht="17.100000000000001" customHeight="1">
      <c r="B25" s="232"/>
      <c r="C25" s="74" t="s">
        <v>342</v>
      </c>
      <c r="D25" s="29">
        <f>E24*5%</f>
        <v>180092.64750000002</v>
      </c>
      <c r="E25" s="29">
        <f>E24+D25</f>
        <v>3781945.5975000001</v>
      </c>
    </row>
    <row r="26" spans="1:10" ht="17.100000000000001" customHeight="1" thickBot="1">
      <c r="B26" s="354"/>
      <c r="C26" s="353" t="s">
        <v>24</v>
      </c>
      <c r="D26" s="352">
        <f>-(217067.76+136753.68+85322.16+225289.68+146813.52+689850+552503.7)</f>
        <v>-2053600.5</v>
      </c>
      <c r="E26" s="352">
        <f>E25+D26</f>
        <v>1728345.0975000001</v>
      </c>
      <c r="F26" s="440">
        <f>D26+'Ledgers 23-08-2023'!$H$40</f>
        <v>0</v>
      </c>
      <c r="G26" s="302" t="s">
        <v>344</v>
      </c>
    </row>
    <row r="27" spans="1:10" ht="17.100000000000001" customHeight="1" thickBot="1">
      <c r="B27" s="234"/>
      <c r="C27" s="73" t="s">
        <v>12</v>
      </c>
      <c r="D27" s="31">
        <f>SUM(D22:D26)</f>
        <v>1728345.0975000001</v>
      </c>
      <c r="E27" s="31">
        <f>E26</f>
        <v>1728345.0975000001</v>
      </c>
      <c r="G27" s="284">
        <f>306142.87+398953.8</f>
        <v>705096.66999999993</v>
      </c>
      <c r="H27" s="284">
        <f>E27-G27</f>
        <v>1023248.4275000002</v>
      </c>
    </row>
    <row r="28" spans="1:10" s="8" customFormat="1" ht="5.0999999999999996" customHeight="1" thickBot="1">
      <c r="A28" s="64"/>
      <c r="B28" s="64"/>
      <c r="C28" s="64"/>
      <c r="D28" s="64"/>
      <c r="E28" s="64"/>
      <c r="F28" s="440"/>
      <c r="H28" s="283"/>
      <c r="I28" s="3"/>
      <c r="J28" s="3"/>
    </row>
    <row r="29" spans="1:10" ht="17.100000000000001" customHeight="1">
      <c r="B29" s="363" t="s">
        <v>327</v>
      </c>
      <c r="C29" s="362" t="s">
        <v>30</v>
      </c>
      <c r="D29" s="361"/>
      <c r="E29" s="361"/>
      <c r="G29" s="3"/>
    </row>
    <row r="30" spans="1:10" ht="17.100000000000001" customHeight="1">
      <c r="B30" s="231"/>
      <c r="C30" s="69" t="s">
        <v>15</v>
      </c>
      <c r="D30" s="29">
        <v>1500000</v>
      </c>
      <c r="E30" s="29">
        <f>D30</f>
        <v>1500000</v>
      </c>
    </row>
    <row r="31" spans="1:10" ht="17.100000000000001" customHeight="1">
      <c r="B31" s="231"/>
      <c r="C31" s="351" t="s">
        <v>343</v>
      </c>
      <c r="D31" s="29">
        <v>0</v>
      </c>
      <c r="E31" s="29">
        <f>E30+D31</f>
        <v>1500000</v>
      </c>
    </row>
    <row r="32" spans="1:10" s="355" customFormat="1" ht="17.100000000000001" customHeight="1">
      <c r="B32" s="360"/>
      <c r="C32" s="359" t="s">
        <v>278</v>
      </c>
      <c r="D32" s="358">
        <f>-D30*0%</f>
        <v>0</v>
      </c>
      <c r="E32" s="358">
        <f>E31+D32</f>
        <v>1500000</v>
      </c>
      <c r="F32" s="441"/>
      <c r="G32" s="357"/>
      <c r="H32" s="356"/>
    </row>
    <row r="33" spans="1:10" ht="17.100000000000001" customHeight="1">
      <c r="B33" s="232"/>
      <c r="C33" s="74" t="s">
        <v>342</v>
      </c>
      <c r="D33" s="29">
        <f>E32*5%</f>
        <v>75000</v>
      </c>
      <c r="E33" s="29">
        <f>E32+D33</f>
        <v>1575000</v>
      </c>
    </row>
    <row r="34" spans="1:10" ht="17.100000000000001" customHeight="1" thickBot="1">
      <c r="B34" s="354"/>
      <c r="C34" s="353" t="s">
        <v>24</v>
      </c>
      <c r="D34" s="352">
        <f>-(100000+100000+121528.9+254806.86+380127.67+450248.65+1078.78)</f>
        <v>-1407790.86</v>
      </c>
      <c r="E34" s="352">
        <f>E33+D34</f>
        <v>167209.1399999999</v>
      </c>
      <c r="F34" s="440">
        <f>+D34+'Ledgers 23-08-2023'!$H$54</f>
        <v>0</v>
      </c>
    </row>
    <row r="35" spans="1:10" ht="17.100000000000001" customHeight="1" thickBot="1">
      <c r="B35" s="234"/>
      <c r="C35" s="73" t="s">
        <v>12</v>
      </c>
      <c r="D35" s="31">
        <f>SUM(D30:D34)</f>
        <v>167209.1399999999</v>
      </c>
      <c r="E35" s="31">
        <f>E34</f>
        <v>167209.1399999999</v>
      </c>
    </row>
    <row r="36" spans="1:10" s="8" customFormat="1" ht="5.0999999999999996" customHeight="1" thickBot="1">
      <c r="A36" s="64"/>
      <c r="B36" s="64"/>
      <c r="C36" s="64"/>
      <c r="D36" s="64"/>
      <c r="E36" s="64"/>
      <c r="F36" s="440"/>
      <c r="G36" s="284"/>
      <c r="H36" s="283"/>
      <c r="I36" s="3"/>
      <c r="J36" s="3"/>
    </row>
    <row r="37" spans="1:10" ht="17.100000000000001" customHeight="1">
      <c r="B37" s="363" t="s">
        <v>328</v>
      </c>
      <c r="C37" s="362" t="s">
        <v>17</v>
      </c>
      <c r="D37" s="361"/>
      <c r="E37" s="361"/>
    </row>
    <row r="38" spans="1:10" ht="17.100000000000001" customHeight="1">
      <c r="B38" s="231"/>
      <c r="C38" s="69" t="s">
        <v>15</v>
      </c>
      <c r="D38" s="29">
        <v>1500000</v>
      </c>
      <c r="E38" s="29">
        <f>D38</f>
        <v>1500000</v>
      </c>
    </row>
    <row r="39" spans="1:10" ht="17.100000000000001" customHeight="1">
      <c r="B39" s="231"/>
      <c r="C39" s="351" t="s">
        <v>343</v>
      </c>
      <c r="D39" s="29">
        <v>0</v>
      </c>
      <c r="E39" s="29">
        <f t="shared" ref="E39:E44" si="0">E38+D39</f>
        <v>1500000</v>
      </c>
    </row>
    <row r="40" spans="1:10" s="355" customFormat="1" ht="17.100000000000001" customHeight="1">
      <c r="B40" s="360"/>
      <c r="C40" s="359" t="s">
        <v>278</v>
      </c>
      <c r="D40" s="358">
        <f>-D38*0%</f>
        <v>0</v>
      </c>
      <c r="E40" s="358">
        <f t="shared" si="0"/>
        <v>1500000</v>
      </c>
      <c r="F40" s="441"/>
      <c r="G40" s="357"/>
      <c r="H40" s="356"/>
    </row>
    <row r="41" spans="1:10" ht="17.100000000000001" customHeight="1">
      <c r="B41" s="232"/>
      <c r="C41" s="75" t="s">
        <v>342</v>
      </c>
      <c r="D41" s="62">
        <f>E40*5%</f>
        <v>75000</v>
      </c>
      <c r="E41" s="29">
        <f t="shared" si="0"/>
        <v>1575000</v>
      </c>
    </row>
    <row r="42" spans="1:10" ht="17.100000000000001" customHeight="1">
      <c r="B42" s="236"/>
      <c r="C42" s="72" t="s">
        <v>33</v>
      </c>
      <c r="D42" s="30">
        <v>-243644.1</v>
      </c>
      <c r="E42" s="29">
        <f t="shared" si="0"/>
        <v>1331355.8999999999</v>
      </c>
    </row>
    <row r="43" spans="1:10" ht="17.100000000000001" customHeight="1">
      <c r="B43" s="236"/>
      <c r="C43" s="72" t="s">
        <v>32</v>
      </c>
      <c r="D43" s="30">
        <v>-224070</v>
      </c>
      <c r="E43" s="29">
        <f t="shared" si="0"/>
        <v>1107285.8999999999</v>
      </c>
    </row>
    <row r="44" spans="1:10" ht="17.100000000000001" customHeight="1" thickBot="1">
      <c r="B44" s="354"/>
      <c r="C44" s="353" t="s">
        <v>24</v>
      </c>
      <c r="D44" s="352">
        <f>-(176470.56+243571.44+295742.79+129546.51+227509.3)</f>
        <v>-1072840.6000000001</v>
      </c>
      <c r="E44" s="352">
        <f t="shared" si="0"/>
        <v>34445.299999999814</v>
      </c>
      <c r="F44" s="440">
        <f>+D44+'Ledgers 23-08-2023'!$H$66</f>
        <v>0</v>
      </c>
    </row>
    <row r="45" spans="1:10" ht="17.100000000000001" customHeight="1" thickBot="1">
      <c r="B45" s="234"/>
      <c r="C45" s="73" t="s">
        <v>12</v>
      </c>
      <c r="D45" s="31">
        <f>SUM(D38:D44)</f>
        <v>34445.299999999814</v>
      </c>
      <c r="E45" s="31">
        <f>E44</f>
        <v>34445.299999999814</v>
      </c>
    </row>
    <row r="46" spans="1:10" ht="17.100000000000001" customHeight="1" thickBot="1">
      <c r="B46" s="237"/>
      <c r="C46" s="76"/>
      <c r="D46" s="68"/>
      <c r="E46" s="68"/>
    </row>
    <row r="47" spans="1:10" ht="17.100000000000001" customHeight="1" thickBot="1">
      <c r="B47" s="234"/>
      <c r="C47" s="73" t="s">
        <v>18</v>
      </c>
      <c r="D47" s="31">
        <f>D19+D27+D35+D45</f>
        <v>2127606.2275</v>
      </c>
      <c r="E47" s="31">
        <f>E19+E27+E35+E45</f>
        <v>2127606.2275</v>
      </c>
    </row>
    <row r="48" spans="1:10" ht="5.0999999999999996" customHeight="1" thickBot="1">
      <c r="B48" s="3"/>
      <c r="C48" s="3"/>
      <c r="D48" s="3"/>
      <c r="E48" s="3"/>
      <c r="F48" s="443"/>
      <c r="G48" s="3"/>
      <c r="H48" s="3"/>
    </row>
    <row r="49" spans="2:10" ht="17.100000000000001" customHeight="1">
      <c r="B49" s="239"/>
      <c r="C49" s="77" t="s">
        <v>26</v>
      </c>
      <c r="D49" s="33">
        <f>SUM(D14,D22,D38,D30)</f>
        <v>6600000</v>
      </c>
      <c r="E49" s="33">
        <f>D49</f>
        <v>6600000</v>
      </c>
    </row>
    <row r="50" spans="2:10" ht="17.100000000000001" customHeight="1">
      <c r="B50" s="231"/>
      <c r="C50" s="351" t="s">
        <v>343</v>
      </c>
      <c r="D50" s="29">
        <f>SUM(D15,D23,D31,D39)</f>
        <v>1301852.95</v>
      </c>
      <c r="E50" s="29">
        <f>E49+D50</f>
        <v>7901852.9500000002</v>
      </c>
    </row>
    <row r="51" spans="2:10" ht="17.100000000000001" customHeight="1">
      <c r="B51" s="350"/>
      <c r="C51" s="349" t="s">
        <v>104</v>
      </c>
      <c r="D51" s="348">
        <f>-SUM(D40,D32,D24,D16)</f>
        <v>0</v>
      </c>
      <c r="E51" s="348">
        <f>E50+D51</f>
        <v>7901852.9500000002</v>
      </c>
    </row>
    <row r="52" spans="2:10" ht="17.100000000000001" customHeight="1">
      <c r="B52" s="232"/>
      <c r="C52" s="74" t="s">
        <v>342</v>
      </c>
      <c r="D52" s="29">
        <f>SUM(D41,D33,D25,D17)</f>
        <v>395092.64750000002</v>
      </c>
      <c r="E52" s="29">
        <f>E51+D52</f>
        <v>8296945.5975000001</v>
      </c>
    </row>
    <row r="53" spans="2:10" ht="17.100000000000001" customHeight="1" thickBot="1">
      <c r="B53" s="236"/>
      <c r="C53" s="78" t="s">
        <v>107</v>
      </c>
      <c r="D53" s="30">
        <f>SUM(D18,D26,D34,D42:D44)</f>
        <v>-6169339.3699999992</v>
      </c>
      <c r="E53" s="30">
        <f>E52+D53</f>
        <v>2127606.227500001</v>
      </c>
    </row>
    <row r="54" spans="2:10" s="341" customFormat="1" ht="24.95" customHeight="1" thickBot="1">
      <c r="B54" s="347"/>
      <c r="C54" s="346" t="s">
        <v>34</v>
      </c>
      <c r="D54" s="345">
        <f>SUM(D49:D53)</f>
        <v>2127606.227500001</v>
      </c>
      <c r="E54" s="345">
        <f>E53</f>
        <v>2127606.227500001</v>
      </c>
      <c r="F54" s="439">
        <f>E54-E47</f>
        <v>0</v>
      </c>
      <c r="G54" s="344"/>
      <c r="H54" s="343"/>
      <c r="I54" s="342"/>
      <c r="J54" s="342"/>
    </row>
    <row r="55" spans="2:10" ht="15" thickBot="1">
      <c r="B55" s="17"/>
      <c r="C55" s="4"/>
      <c r="D55" s="67"/>
      <c r="E55" s="67"/>
    </row>
    <row r="56" spans="2:10">
      <c r="B56" s="340"/>
      <c r="C56" s="339" t="s">
        <v>330</v>
      </c>
      <c r="D56" s="338">
        <f>'Payment Details.'!Z71</f>
        <v>700000</v>
      </c>
      <c r="E56" s="337">
        <f>D56</f>
        <v>700000</v>
      </c>
    </row>
    <row r="57" spans="2:10">
      <c r="B57" s="336"/>
      <c r="C57" s="335" t="s">
        <v>331</v>
      </c>
      <c r="D57" s="334">
        <f>'Payment Details.'!Z72</f>
        <v>200000</v>
      </c>
      <c r="E57" s="333">
        <f>E56+D57</f>
        <v>900000</v>
      </c>
    </row>
    <row r="58" spans="2:10">
      <c r="B58" s="332"/>
      <c r="C58" s="331" t="s">
        <v>332</v>
      </c>
      <c r="D58" s="330">
        <f>'Payment Details.'!Z73</f>
        <v>3260450.1899999995</v>
      </c>
      <c r="E58" s="329">
        <f>E57+D58</f>
        <v>4160450.1899999995</v>
      </c>
    </row>
    <row r="59" spans="2:10" ht="15">
      <c r="B59" s="220"/>
      <c r="C59" s="221" t="s">
        <v>333</v>
      </c>
      <c r="D59" s="328">
        <f>'Payment Details.'!Z74</f>
        <v>851325.08000000007</v>
      </c>
      <c r="E59" s="320">
        <f>E58+D59</f>
        <v>5011775.2699999996</v>
      </c>
    </row>
    <row r="60" spans="2:10" ht="15.75" thickBot="1">
      <c r="B60" s="241"/>
      <c r="C60" s="242" t="s">
        <v>334</v>
      </c>
      <c r="D60" s="327">
        <f>'Payment Details.'!Z75</f>
        <v>689850</v>
      </c>
      <c r="E60" s="326">
        <f>E59+D60</f>
        <v>5701625.2699999996</v>
      </c>
    </row>
    <row r="61" spans="2:10" s="19" customFormat="1" ht="20.100000000000001" customHeight="1" thickBot="1">
      <c r="B61" s="245"/>
      <c r="C61" s="246" t="str">
        <f>'Payment Details.'!N76</f>
        <v>Total</v>
      </c>
      <c r="D61" s="325">
        <f>SUM(D56:D60)</f>
        <v>5701625.2699999996</v>
      </c>
      <c r="E61" s="324">
        <f>E60</f>
        <v>5701625.2699999996</v>
      </c>
      <c r="F61" s="371">
        <f>E61-'Ledgers 23-08-2023'!$H$67</f>
        <v>0</v>
      </c>
      <c r="G61" s="286"/>
      <c r="H61" s="289"/>
    </row>
    <row r="62" spans="2:10" s="19" customFormat="1" ht="20.100000000000001" customHeight="1">
      <c r="B62" s="6"/>
      <c r="C62" s="259"/>
      <c r="D62" s="433"/>
      <c r="E62" s="434"/>
      <c r="F62" s="442"/>
      <c r="G62" s="435"/>
      <c r="H62" s="289"/>
    </row>
    <row r="63" spans="2:10" s="19" customFormat="1" ht="20.100000000000001" customHeight="1">
      <c r="B63" s="6"/>
      <c r="C63" s="259"/>
      <c r="D63" s="433"/>
      <c r="E63" s="434"/>
      <c r="F63" s="442"/>
      <c r="G63" s="435"/>
      <c r="H63" s="289"/>
    </row>
    <row r="64" spans="2:10" s="19" customFormat="1" ht="20.100000000000001" customHeight="1">
      <c r="B64" s="6"/>
      <c r="C64" s="259"/>
      <c r="D64" s="433"/>
      <c r="E64" s="434"/>
      <c r="F64" s="442"/>
      <c r="G64" s="435"/>
      <c r="H64" s="289"/>
    </row>
    <row r="65" spans="2:8" s="19" customFormat="1" ht="20.100000000000001" customHeight="1">
      <c r="B65" s="6"/>
      <c r="C65" s="259"/>
      <c r="D65" s="433"/>
      <c r="E65" s="434"/>
      <c r="F65" s="442"/>
      <c r="G65" s="435"/>
      <c r="H65" s="289"/>
    </row>
    <row r="66" spans="2:8" s="19" customFormat="1" ht="20.100000000000001" customHeight="1">
      <c r="B66" s="6"/>
      <c r="C66" s="259"/>
      <c r="D66" s="433"/>
      <c r="E66" s="434"/>
      <c r="F66" s="442"/>
      <c r="G66" s="435"/>
      <c r="H66" s="289"/>
    </row>
    <row r="67" spans="2:8" s="19" customFormat="1" ht="20.100000000000001" customHeight="1">
      <c r="B67" s="6"/>
      <c r="C67" s="259"/>
      <c r="D67" s="433"/>
      <c r="E67" s="434"/>
      <c r="F67" s="442"/>
      <c r="G67" s="435"/>
      <c r="H67" s="289"/>
    </row>
    <row r="68" spans="2:8" s="19" customFormat="1" ht="15.75" customHeight="1" thickBot="1">
      <c r="B68" s="6"/>
      <c r="C68" s="259"/>
      <c r="D68" s="323"/>
      <c r="E68" s="436"/>
      <c r="F68" s="442"/>
      <c r="G68" s="435"/>
      <c r="H68" s="289"/>
    </row>
    <row r="69" spans="2:8" ht="20.100000000000001" customHeight="1">
      <c r="B69" s="261"/>
      <c r="C69" s="322" t="s">
        <v>285</v>
      </c>
      <c r="D69" s="263"/>
      <c r="E69" s="263"/>
      <c r="G69" s="286"/>
      <c r="H69" s="285"/>
    </row>
    <row r="70" spans="2:8" ht="15">
      <c r="B70" s="224"/>
      <c r="C70" s="220" t="s">
        <v>335</v>
      </c>
      <c r="D70" s="320">
        <v>243644.1</v>
      </c>
      <c r="E70" s="319"/>
      <c r="G70" s="286"/>
      <c r="H70" s="285"/>
    </row>
    <row r="71" spans="2:8" ht="15">
      <c r="B71" s="224"/>
      <c r="C71" s="220" t="s">
        <v>337</v>
      </c>
      <c r="D71" s="320">
        <v>37800</v>
      </c>
      <c r="E71" s="320"/>
      <c r="G71" s="287"/>
      <c r="H71" s="285"/>
    </row>
    <row r="72" spans="2:8" ht="15">
      <c r="B72" s="306" t="s">
        <v>329</v>
      </c>
      <c r="C72" s="220" t="s">
        <v>336</v>
      </c>
      <c r="D72" s="321">
        <v>246246</v>
      </c>
      <c r="E72" s="321">
        <v>224070</v>
      </c>
      <c r="G72" s="288">
        <f>D72-E72</f>
        <v>22176</v>
      </c>
      <c r="H72" s="285"/>
    </row>
    <row r="73" spans="2:8" ht="15">
      <c r="B73" s="224"/>
      <c r="C73" s="220" t="s">
        <v>338</v>
      </c>
      <c r="D73" s="320">
        <f>290000+237024.9</f>
        <v>527024.9</v>
      </c>
      <c r="E73" s="320"/>
      <c r="G73" s="287"/>
      <c r="H73" s="285"/>
    </row>
    <row r="74" spans="2:8" ht="15">
      <c r="B74" s="224"/>
      <c r="C74" s="220" t="s">
        <v>339</v>
      </c>
      <c r="D74" s="320">
        <f>180698.55+42306.6+(48300+71478.63)</f>
        <v>342783.78</v>
      </c>
      <c r="E74" s="320"/>
      <c r="G74" s="287"/>
      <c r="H74" s="285"/>
    </row>
    <row r="75" spans="2:8" ht="15">
      <c r="B75" s="224"/>
      <c r="C75" s="220" t="s">
        <v>340</v>
      </c>
      <c r="D75" s="320">
        <v>398953.8</v>
      </c>
      <c r="E75" s="320"/>
      <c r="G75" s="287"/>
      <c r="H75" s="285"/>
    </row>
    <row r="76" spans="2:8" ht="15">
      <c r="B76" s="224"/>
      <c r="C76" s="220" t="s">
        <v>341</v>
      </c>
      <c r="D76" s="320">
        <f>6508.57+3074.95</f>
        <v>9583.52</v>
      </c>
      <c r="E76" s="320"/>
      <c r="G76" s="287"/>
      <c r="H76" s="285"/>
    </row>
    <row r="77" spans="2:8">
      <c r="B77" s="224"/>
      <c r="C77" s="221" t="s">
        <v>280</v>
      </c>
      <c r="D77" s="320">
        <v>20212.5</v>
      </c>
      <c r="E77" s="319"/>
      <c r="G77" s="286"/>
      <c r="H77" s="285"/>
    </row>
    <row r="78" spans="2:8" ht="15" thickBot="1">
      <c r="B78" s="264"/>
      <c r="C78" s="265" t="s">
        <v>284</v>
      </c>
      <c r="D78" s="318">
        <v>395.02</v>
      </c>
      <c r="E78" s="317"/>
      <c r="G78" s="286"/>
      <c r="H78" s="285"/>
    </row>
    <row r="79" spans="2:8" s="194" customFormat="1" ht="20.100000000000001" customHeight="1" thickBot="1">
      <c r="B79" s="250"/>
      <c r="C79" s="250" t="s">
        <v>116</v>
      </c>
      <c r="D79" s="316">
        <f>SUM(D61:D78)</f>
        <v>7528268.8899999987</v>
      </c>
      <c r="E79" s="315"/>
      <c r="F79" s="371"/>
      <c r="G79" s="286">
        <v>7528267.9500000002</v>
      </c>
      <c r="H79" s="285"/>
    </row>
    <row r="80" spans="2:8">
      <c r="G80" s="284">
        <f>D79-G79</f>
        <v>0.93999999854713678</v>
      </c>
    </row>
    <row r="81" spans="1:14" ht="15">
      <c r="B81" s="4" t="s">
        <v>9</v>
      </c>
      <c r="E81" s="314"/>
    </row>
    <row r="82" spans="1:14" ht="15">
      <c r="B82" s="4" t="s">
        <v>10</v>
      </c>
      <c r="E82" s="314"/>
    </row>
    <row r="83" spans="1:14" ht="15">
      <c r="B83" s="4" t="s">
        <v>28</v>
      </c>
      <c r="D83" s="314"/>
      <c r="E83" s="314"/>
    </row>
    <row r="84" spans="1:14" ht="15">
      <c r="B84" s="4" t="s">
        <v>29</v>
      </c>
      <c r="D84" s="314"/>
      <c r="E84" s="314"/>
    </row>
    <row r="85" spans="1:14" ht="18">
      <c r="B85" s="15" t="s">
        <v>21</v>
      </c>
    </row>
    <row r="86" spans="1:14">
      <c r="D86" s="281">
        <f>E52</f>
        <v>8296945.5975000001</v>
      </c>
    </row>
    <row r="87" spans="1:14">
      <c r="D87" s="281">
        <f>D86-D79</f>
        <v>768676.70750000142</v>
      </c>
    </row>
    <row r="90" spans="1:14" ht="17.100000000000001" customHeight="1">
      <c r="B90" s="308" t="s">
        <v>327</v>
      </c>
      <c r="C90" s="309" t="s">
        <v>30</v>
      </c>
      <c r="D90" s="310"/>
      <c r="E90" s="310"/>
    </row>
    <row r="91" spans="1:14" ht="17.100000000000001" customHeight="1">
      <c r="B91" s="311"/>
      <c r="C91" s="312" t="s">
        <v>106</v>
      </c>
      <c r="D91" s="313">
        <v>10274.200000000001</v>
      </c>
      <c r="E91" s="313"/>
    </row>
    <row r="92" spans="1:14" s="64" customFormat="1" ht="5.25" customHeight="1">
      <c r="A92" s="3"/>
      <c r="B92" s="2"/>
      <c r="C92" s="2"/>
      <c r="D92" s="281"/>
      <c r="E92" s="281"/>
      <c r="F92" s="440"/>
      <c r="G92" s="284"/>
      <c r="H92" s="283"/>
      <c r="I92" s="3"/>
      <c r="J92" s="3"/>
      <c r="K92" s="3"/>
      <c r="L92" s="3"/>
      <c r="M92" s="3"/>
      <c r="N92" s="3"/>
    </row>
    <row r="93" spans="1:14" s="64" customFormat="1" ht="17.100000000000001" customHeight="1">
      <c r="A93" s="3"/>
      <c r="B93" s="308" t="s">
        <v>328</v>
      </c>
      <c r="C93" s="309" t="s">
        <v>17</v>
      </c>
      <c r="D93" s="310"/>
      <c r="E93" s="310"/>
      <c r="F93" s="440"/>
      <c r="G93" s="284"/>
      <c r="H93" s="283"/>
      <c r="I93" s="3"/>
      <c r="J93" s="3"/>
      <c r="K93" s="3"/>
      <c r="L93" s="3"/>
      <c r="M93" s="3"/>
      <c r="N93" s="3"/>
    </row>
    <row r="94" spans="1:14" s="64" customFormat="1" ht="17.100000000000001" customHeight="1">
      <c r="A94" s="3"/>
      <c r="B94" s="311"/>
      <c r="C94" s="312" t="s">
        <v>106</v>
      </c>
      <c r="D94" s="313">
        <v>14627.23</v>
      </c>
      <c r="E94" s="313"/>
      <c r="F94" s="440"/>
      <c r="G94" s="284"/>
      <c r="H94" s="283"/>
      <c r="I94" s="3"/>
      <c r="J94" s="3"/>
      <c r="K94" s="3"/>
      <c r="L94" s="3"/>
      <c r="M94" s="3"/>
      <c r="N94" s="3"/>
    </row>
  </sheetData>
  <mergeCells count="2">
    <mergeCell ref="D3:E3"/>
    <mergeCell ref="D2:E2"/>
  </mergeCells>
  <printOptions horizontalCentered="1"/>
  <pageMargins left="0" right="0.25" top="1.49" bottom="0" header="0.3" footer="0"/>
  <pageSetup paperSize="9" scale="72" orientation="portrait" r:id="rId1"/>
  <headerFooter>
    <oddHeader>&amp;C&amp;G</oddHeader>
    <oddFooter>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92D050"/>
  </sheetPr>
  <dimension ref="B2:I69"/>
  <sheetViews>
    <sheetView zoomScaleNormal="100" workbookViewId="0">
      <pane xSplit="2" ySplit="3" topLeftCell="C49" activePane="bottomRight" state="frozenSplit"/>
      <selection pane="topRight" activeCell="D1" sqref="D1"/>
      <selection pane="bottomLeft" activeCell="A2" sqref="A2"/>
      <selection pane="bottomRight" activeCell="F66" sqref="F66"/>
    </sheetView>
  </sheetViews>
  <sheetFormatPr defaultRowHeight="15"/>
  <cols>
    <col min="2" max="2" width="15.7109375" bestFit="1" customWidth="1"/>
    <col min="3" max="3" width="11.28515625" bestFit="1" customWidth="1"/>
    <col min="4" max="4" width="6.7109375" style="101" bestFit="1" customWidth="1"/>
    <col min="5" max="5" width="9.5703125" style="101" customWidth="1"/>
    <col min="6" max="6" width="88.7109375" customWidth="1"/>
    <col min="7" max="8" width="14.5703125" style="105" bestFit="1" customWidth="1"/>
    <col min="9" max="9" width="15.28515625" style="105" bestFit="1" customWidth="1"/>
  </cols>
  <sheetData>
    <row r="2" spans="2:9" ht="16.5" thickBot="1">
      <c r="B2" s="718" t="s">
        <v>14</v>
      </c>
      <c r="C2" s="718"/>
      <c r="D2" s="718"/>
      <c r="E2" s="718"/>
      <c r="F2" s="718"/>
      <c r="G2" s="718"/>
      <c r="H2" s="718"/>
      <c r="I2" s="718"/>
    </row>
    <row r="3" spans="2:9" s="428" customFormat="1" ht="45" customHeight="1" thickBot="1">
      <c r="B3" s="432" t="s">
        <v>97</v>
      </c>
      <c r="C3" s="431" t="s">
        <v>96</v>
      </c>
      <c r="D3" s="431" t="s">
        <v>95</v>
      </c>
      <c r="E3" s="431" t="s">
        <v>93</v>
      </c>
      <c r="F3" s="431" t="s">
        <v>92</v>
      </c>
      <c r="G3" s="430" t="s">
        <v>91</v>
      </c>
      <c r="H3" s="430" t="s">
        <v>90</v>
      </c>
      <c r="I3" s="429" t="s">
        <v>31</v>
      </c>
    </row>
    <row r="4" spans="2:9">
      <c r="B4" s="427" t="s">
        <v>273</v>
      </c>
      <c r="C4" s="426"/>
      <c r="D4" s="425"/>
      <c r="E4" s="425"/>
      <c r="F4" s="424"/>
      <c r="G4" s="423"/>
      <c r="H4" s="423"/>
      <c r="I4" s="422"/>
    </row>
    <row r="5" spans="2:9">
      <c r="B5" s="403" t="s">
        <v>80</v>
      </c>
      <c r="C5" s="402">
        <v>44595</v>
      </c>
      <c r="D5" s="401">
        <v>9233</v>
      </c>
      <c r="E5" s="400" t="s">
        <v>266</v>
      </c>
      <c r="F5" s="399" t="s">
        <v>87</v>
      </c>
      <c r="G5" s="398"/>
      <c r="H5" s="398">
        <v>250000</v>
      </c>
      <c r="I5" s="397">
        <v>-250000</v>
      </c>
    </row>
    <row r="6" spans="2:9">
      <c r="B6" s="403" t="s">
        <v>80</v>
      </c>
      <c r="C6" s="402">
        <v>44625</v>
      </c>
      <c r="D6" s="401">
        <v>9243</v>
      </c>
      <c r="E6" s="400" t="s">
        <v>266</v>
      </c>
      <c r="F6" s="399" t="s">
        <v>85</v>
      </c>
      <c r="G6" s="398"/>
      <c r="H6" s="398">
        <v>100000</v>
      </c>
      <c r="I6" s="397">
        <v>-350000</v>
      </c>
    </row>
    <row r="7" spans="2:9">
      <c r="B7" s="403" t="s">
        <v>46</v>
      </c>
      <c r="C7" s="402">
        <v>44653</v>
      </c>
      <c r="D7" s="401">
        <v>14774</v>
      </c>
      <c r="E7" s="400" t="s">
        <v>266</v>
      </c>
      <c r="F7" s="399" t="s">
        <v>84</v>
      </c>
      <c r="G7" s="398">
        <v>212887.52</v>
      </c>
      <c r="H7" s="398"/>
      <c r="I7" s="397">
        <v>-137112.48000000001</v>
      </c>
    </row>
    <row r="8" spans="2:9">
      <c r="B8" s="403" t="s">
        <v>46</v>
      </c>
      <c r="C8" s="402">
        <v>44658</v>
      </c>
      <c r="D8" s="401">
        <v>14775</v>
      </c>
      <c r="E8" s="400" t="s">
        <v>266</v>
      </c>
      <c r="F8" s="399" t="s">
        <v>83</v>
      </c>
      <c r="G8" s="398">
        <v>94367.39</v>
      </c>
      <c r="H8" s="398"/>
      <c r="I8" s="397">
        <v>-42745.09</v>
      </c>
    </row>
    <row r="9" spans="2:9">
      <c r="B9" s="403" t="s">
        <v>80</v>
      </c>
      <c r="C9" s="402">
        <v>44669</v>
      </c>
      <c r="D9" s="401">
        <v>9350</v>
      </c>
      <c r="E9" s="400" t="s">
        <v>266</v>
      </c>
      <c r="F9" s="399" t="s">
        <v>82</v>
      </c>
      <c r="G9" s="398"/>
      <c r="H9" s="398">
        <v>50000</v>
      </c>
      <c r="I9" s="397">
        <v>-92745.09</v>
      </c>
    </row>
    <row r="10" spans="2:9">
      <c r="B10" s="403" t="s">
        <v>46</v>
      </c>
      <c r="C10" s="402">
        <v>44694</v>
      </c>
      <c r="D10" s="401">
        <v>14823</v>
      </c>
      <c r="E10" s="400" t="s">
        <v>266</v>
      </c>
      <c r="F10" s="399" t="s">
        <v>78</v>
      </c>
      <c r="G10" s="398">
        <v>214895.35</v>
      </c>
      <c r="H10" s="398"/>
      <c r="I10" s="397">
        <v>122150.26</v>
      </c>
    </row>
    <row r="11" spans="2:9">
      <c r="B11" s="403" t="s">
        <v>42</v>
      </c>
      <c r="C11" s="402">
        <v>44728</v>
      </c>
      <c r="D11" s="401">
        <v>5751</v>
      </c>
      <c r="E11" s="400" t="s">
        <v>266</v>
      </c>
      <c r="F11" s="399" t="s">
        <v>163</v>
      </c>
      <c r="G11" s="398"/>
      <c r="H11" s="398">
        <v>122150.26</v>
      </c>
      <c r="I11" s="397">
        <v>0</v>
      </c>
    </row>
    <row r="12" spans="2:9">
      <c r="B12" s="403" t="s">
        <v>46</v>
      </c>
      <c r="C12" s="402">
        <v>44735</v>
      </c>
      <c r="D12" s="401">
        <v>14901</v>
      </c>
      <c r="E12" s="400" t="s">
        <v>266</v>
      </c>
      <c r="F12" s="399" t="s">
        <v>67</v>
      </c>
      <c r="G12" s="398">
        <v>44620.28</v>
      </c>
      <c r="H12" s="398"/>
      <c r="I12" s="397">
        <v>44620.28</v>
      </c>
    </row>
    <row r="13" spans="2:9">
      <c r="B13" s="403" t="s">
        <v>42</v>
      </c>
      <c r="C13" s="402">
        <v>44762</v>
      </c>
      <c r="D13" s="401">
        <v>6001</v>
      </c>
      <c r="E13" s="400" t="s">
        <v>266</v>
      </c>
      <c r="F13" s="399" t="s">
        <v>161</v>
      </c>
      <c r="G13" s="398"/>
      <c r="H13" s="398">
        <v>44620.28</v>
      </c>
      <c r="I13" s="397">
        <v>0</v>
      </c>
    </row>
    <row r="14" spans="2:9">
      <c r="B14" s="403" t="s">
        <v>46</v>
      </c>
      <c r="C14" s="402">
        <v>44910</v>
      </c>
      <c r="D14" s="401">
        <v>15089</v>
      </c>
      <c r="E14" s="400" t="s">
        <v>266</v>
      </c>
      <c r="F14" s="399" t="s">
        <v>48</v>
      </c>
      <c r="G14" s="398">
        <v>230389.47</v>
      </c>
      <c r="H14" s="398"/>
      <c r="I14" s="397">
        <v>230389.47</v>
      </c>
    </row>
    <row r="15" spans="2:9">
      <c r="B15" s="403" t="s">
        <v>42</v>
      </c>
      <c r="C15" s="402">
        <v>44937</v>
      </c>
      <c r="D15" s="401">
        <v>7322</v>
      </c>
      <c r="E15" s="400" t="s">
        <v>266</v>
      </c>
      <c r="F15" s="399" t="s">
        <v>159</v>
      </c>
      <c r="G15" s="398"/>
      <c r="H15" s="398">
        <v>230389.47</v>
      </c>
      <c r="I15" s="397">
        <v>0</v>
      </c>
    </row>
    <row r="16" spans="2:9">
      <c r="B16" s="403" t="s">
        <v>42</v>
      </c>
      <c r="C16" s="402">
        <v>44966</v>
      </c>
      <c r="D16" s="401">
        <v>7623</v>
      </c>
      <c r="E16" s="400" t="s">
        <v>266</v>
      </c>
      <c r="F16" s="399" t="s">
        <v>157</v>
      </c>
      <c r="G16" s="398">
        <v>36000</v>
      </c>
      <c r="H16" s="398"/>
      <c r="I16" s="397">
        <v>36000</v>
      </c>
    </row>
    <row r="17" spans="2:9">
      <c r="B17" s="403" t="s">
        <v>80</v>
      </c>
      <c r="C17" s="402">
        <v>45051</v>
      </c>
      <c r="D17" s="401">
        <v>10604</v>
      </c>
      <c r="E17" s="400" t="s">
        <v>266</v>
      </c>
      <c r="F17" s="399" t="s">
        <v>155</v>
      </c>
      <c r="G17" s="398"/>
      <c r="H17" s="398">
        <v>50000</v>
      </c>
      <c r="I17" s="397">
        <v>-14000</v>
      </c>
    </row>
    <row r="18" spans="2:9">
      <c r="B18" s="403" t="s">
        <v>80</v>
      </c>
      <c r="C18" s="402">
        <v>45051</v>
      </c>
      <c r="D18" s="401">
        <v>10603</v>
      </c>
      <c r="E18" s="400" t="s">
        <v>266</v>
      </c>
      <c r="F18" s="399" t="s">
        <v>153</v>
      </c>
      <c r="G18" s="398"/>
      <c r="H18" s="398">
        <v>250000</v>
      </c>
      <c r="I18" s="397">
        <v>-264000</v>
      </c>
    </row>
    <row r="19" spans="2:9">
      <c r="B19" s="403" t="s">
        <v>80</v>
      </c>
      <c r="C19" s="402">
        <v>45061</v>
      </c>
      <c r="D19" s="401">
        <v>10629</v>
      </c>
      <c r="E19" s="400" t="s">
        <v>266</v>
      </c>
      <c r="F19" s="399" t="s">
        <v>354</v>
      </c>
      <c r="G19" s="398"/>
      <c r="H19" s="444">
        <v>70233.3</v>
      </c>
      <c r="I19" s="397">
        <v>-334233.3</v>
      </c>
    </row>
    <row r="20" spans="2:9" ht="15.75" thickBot="1">
      <c r="B20" s="396" t="s">
        <v>46</v>
      </c>
      <c r="C20" s="395">
        <v>45078</v>
      </c>
      <c r="D20" s="394">
        <v>15304</v>
      </c>
      <c r="E20" s="393" t="s">
        <v>266</v>
      </c>
      <c r="F20" s="392" t="s">
        <v>150</v>
      </c>
      <c r="G20" s="391">
        <v>368550</v>
      </c>
      <c r="H20" s="391"/>
      <c r="I20" s="390">
        <v>34316.699999999997</v>
      </c>
    </row>
    <row r="21" spans="2:9" s="100" customFormat="1" ht="15.75" thickBot="1">
      <c r="B21" s="421" t="s">
        <v>265</v>
      </c>
      <c r="C21" s="420"/>
      <c r="D21" s="419"/>
      <c r="E21" s="419"/>
      <c r="F21" s="418"/>
      <c r="G21" s="409">
        <f>ROUND(SUM(G4:G20),5)</f>
        <v>1201710.01</v>
      </c>
      <c r="H21" s="409">
        <f>ROUND(SUM(H4:H20),5)</f>
        <v>1167393.31</v>
      </c>
      <c r="I21" s="408">
        <f>I20</f>
        <v>34316.699999999997</v>
      </c>
    </row>
    <row r="22" spans="2:9">
      <c r="B22" s="407" t="s">
        <v>264</v>
      </c>
      <c r="C22" s="406"/>
      <c r="D22" s="405"/>
      <c r="E22" s="405"/>
      <c r="F22" s="404"/>
      <c r="G22" s="385"/>
      <c r="H22" s="385"/>
      <c r="I22" s="384"/>
    </row>
    <row r="23" spans="2:9">
      <c r="B23" s="403" t="s">
        <v>46</v>
      </c>
      <c r="C23" s="402">
        <v>44694</v>
      </c>
      <c r="D23" s="401">
        <v>14824</v>
      </c>
      <c r="E23" s="400" t="s">
        <v>257</v>
      </c>
      <c r="F23" s="399" t="s">
        <v>77</v>
      </c>
      <c r="G23" s="398">
        <v>217067.76</v>
      </c>
      <c r="H23" s="398"/>
      <c r="I23" s="397">
        <v>217067.76</v>
      </c>
    </row>
    <row r="24" spans="2:9">
      <c r="B24" s="403" t="s">
        <v>42</v>
      </c>
      <c r="C24" s="402">
        <v>44728</v>
      </c>
      <c r="D24" s="401">
        <v>5754</v>
      </c>
      <c r="E24" s="400" t="s">
        <v>257</v>
      </c>
      <c r="F24" s="399" t="s">
        <v>196</v>
      </c>
      <c r="G24" s="398"/>
      <c r="H24" s="398">
        <v>217067.76</v>
      </c>
      <c r="I24" s="397">
        <v>0</v>
      </c>
    </row>
    <row r="25" spans="2:9">
      <c r="B25" s="403" t="s">
        <v>46</v>
      </c>
      <c r="C25" s="402">
        <v>44732</v>
      </c>
      <c r="D25" s="401">
        <v>14902</v>
      </c>
      <c r="E25" s="400" t="s">
        <v>257</v>
      </c>
      <c r="F25" s="399" t="s">
        <v>70</v>
      </c>
      <c r="G25" s="398">
        <v>136753.68</v>
      </c>
      <c r="H25" s="398"/>
      <c r="I25" s="397">
        <v>136753.68</v>
      </c>
    </row>
    <row r="26" spans="2:9">
      <c r="B26" s="403" t="s">
        <v>42</v>
      </c>
      <c r="C26" s="402">
        <v>44762</v>
      </c>
      <c r="D26" s="401">
        <v>6002</v>
      </c>
      <c r="E26" s="400" t="s">
        <v>257</v>
      </c>
      <c r="F26" s="399" t="s">
        <v>194</v>
      </c>
      <c r="G26" s="398"/>
      <c r="H26" s="398">
        <v>136753.68</v>
      </c>
      <c r="I26" s="397">
        <v>0</v>
      </c>
    </row>
    <row r="27" spans="2:9">
      <c r="B27" s="403" t="s">
        <v>46</v>
      </c>
      <c r="C27" s="402">
        <v>44770</v>
      </c>
      <c r="D27" s="401">
        <v>14965</v>
      </c>
      <c r="E27" s="400" t="s">
        <v>257</v>
      </c>
      <c r="F27" s="399" t="s">
        <v>62</v>
      </c>
      <c r="G27" s="398">
        <v>85322.16</v>
      </c>
      <c r="H27" s="398"/>
      <c r="I27" s="397">
        <v>85322.16</v>
      </c>
    </row>
    <row r="28" spans="2:9">
      <c r="B28" s="403" t="s">
        <v>42</v>
      </c>
      <c r="C28" s="402">
        <v>44813</v>
      </c>
      <c r="D28" s="401">
        <v>6253</v>
      </c>
      <c r="E28" s="400" t="s">
        <v>257</v>
      </c>
      <c r="F28" s="399" t="s">
        <v>192</v>
      </c>
      <c r="G28" s="398"/>
      <c r="H28" s="398">
        <v>85322.16</v>
      </c>
      <c r="I28" s="397">
        <v>0</v>
      </c>
    </row>
    <row r="29" spans="2:9">
      <c r="B29" s="403" t="s">
        <v>46</v>
      </c>
      <c r="C29" s="402">
        <v>44910</v>
      </c>
      <c r="D29" s="401">
        <v>15090</v>
      </c>
      <c r="E29" s="400" t="s">
        <v>257</v>
      </c>
      <c r="F29" s="399" t="s">
        <v>47</v>
      </c>
      <c r="G29" s="398">
        <v>225289.68</v>
      </c>
      <c r="H29" s="398"/>
      <c r="I29" s="397">
        <v>225289.68</v>
      </c>
    </row>
    <row r="30" spans="2:9">
      <c r="B30" s="403" t="s">
        <v>46</v>
      </c>
      <c r="C30" s="402">
        <v>44915</v>
      </c>
      <c r="D30" s="401">
        <v>15109</v>
      </c>
      <c r="E30" s="400" t="s">
        <v>257</v>
      </c>
      <c r="F30" s="399" t="s">
        <v>45</v>
      </c>
      <c r="G30" s="398">
        <v>146813.51999999999</v>
      </c>
      <c r="H30" s="398"/>
      <c r="I30" s="397">
        <v>372103.2</v>
      </c>
    </row>
    <row r="31" spans="2:9">
      <c r="B31" s="403" t="s">
        <v>42</v>
      </c>
      <c r="C31" s="402">
        <v>44937</v>
      </c>
      <c r="D31" s="401">
        <v>6828</v>
      </c>
      <c r="E31" s="400" t="s">
        <v>257</v>
      </c>
      <c r="F31" s="399" t="s">
        <v>190</v>
      </c>
      <c r="G31" s="398"/>
      <c r="H31" s="398">
        <v>225289.68</v>
      </c>
      <c r="I31" s="397">
        <v>146813.51999999999</v>
      </c>
    </row>
    <row r="32" spans="2:9">
      <c r="B32" s="403" t="s">
        <v>42</v>
      </c>
      <c r="C32" s="402">
        <v>44971</v>
      </c>
      <c r="D32" s="401">
        <v>7054</v>
      </c>
      <c r="E32" s="400" t="s">
        <v>257</v>
      </c>
      <c r="F32" s="399" t="s">
        <v>188</v>
      </c>
      <c r="G32" s="398"/>
      <c r="H32" s="398">
        <v>146813.51999999999</v>
      </c>
      <c r="I32" s="397">
        <v>0</v>
      </c>
    </row>
    <row r="33" spans="2:9">
      <c r="B33" s="403" t="s">
        <v>46</v>
      </c>
      <c r="C33" s="402">
        <v>45001</v>
      </c>
      <c r="D33" s="401">
        <v>15264</v>
      </c>
      <c r="E33" s="400" t="s">
        <v>257</v>
      </c>
      <c r="F33" s="399" t="s">
        <v>187</v>
      </c>
      <c r="G33" s="398">
        <v>175812</v>
      </c>
      <c r="H33" s="398"/>
      <c r="I33" s="397">
        <v>175812</v>
      </c>
    </row>
    <row r="34" spans="2:9">
      <c r="B34" s="403" t="s">
        <v>80</v>
      </c>
      <c r="C34" s="402">
        <v>45056</v>
      </c>
      <c r="D34" s="401">
        <v>10628</v>
      </c>
      <c r="E34" s="400" t="s">
        <v>257</v>
      </c>
      <c r="F34" s="399" t="s">
        <v>353</v>
      </c>
      <c r="G34" s="398"/>
      <c r="H34" s="444">
        <v>689850</v>
      </c>
      <c r="I34" s="397">
        <v>-514038</v>
      </c>
    </row>
    <row r="35" spans="2:9">
      <c r="B35" s="403" t="s">
        <v>80</v>
      </c>
      <c r="C35" s="402">
        <v>45061</v>
      </c>
      <c r="D35" s="401">
        <v>10629</v>
      </c>
      <c r="E35" s="400" t="s">
        <v>257</v>
      </c>
      <c r="F35" s="399" t="s">
        <v>354</v>
      </c>
      <c r="G35" s="398"/>
      <c r="H35" s="444">
        <v>552503.69999999995</v>
      </c>
      <c r="I35" s="397">
        <v>-1066541.7</v>
      </c>
    </row>
    <row r="36" spans="2:9">
      <c r="B36" s="403" t="s">
        <v>46</v>
      </c>
      <c r="C36" s="402">
        <v>45078</v>
      </c>
      <c r="D36" s="401">
        <v>15298</v>
      </c>
      <c r="E36" s="400" t="s">
        <v>257</v>
      </c>
      <c r="F36" s="399" t="s">
        <v>184</v>
      </c>
      <c r="G36" s="398">
        <v>689850</v>
      </c>
      <c r="H36" s="398"/>
      <c r="I36" s="397">
        <v>-376691.7</v>
      </c>
    </row>
    <row r="37" spans="2:9">
      <c r="B37" s="403" t="s">
        <v>42</v>
      </c>
      <c r="C37" s="402">
        <v>45078</v>
      </c>
      <c r="D37" s="401">
        <v>7630</v>
      </c>
      <c r="E37" s="400" t="s">
        <v>257</v>
      </c>
      <c r="F37" s="399" t="s">
        <v>176</v>
      </c>
      <c r="G37" s="398">
        <v>272750.09999999998</v>
      </c>
      <c r="H37" s="398"/>
      <c r="I37" s="397">
        <v>-103941.6</v>
      </c>
    </row>
    <row r="38" spans="2:9">
      <c r="B38" s="403" t="s">
        <v>46</v>
      </c>
      <c r="C38" s="402">
        <v>45082</v>
      </c>
      <c r="D38" s="401">
        <v>15299</v>
      </c>
      <c r="E38" s="400" t="s">
        <v>257</v>
      </c>
      <c r="F38" s="399" t="s">
        <v>183</v>
      </c>
      <c r="G38" s="398">
        <v>103941.6</v>
      </c>
      <c r="H38" s="398"/>
      <c r="I38" s="397">
        <v>0</v>
      </c>
    </row>
    <row r="39" spans="2:9" ht="15.75" thickBot="1">
      <c r="B39" s="396" t="s">
        <v>46</v>
      </c>
      <c r="C39" s="395">
        <v>45082</v>
      </c>
      <c r="D39" s="394">
        <v>15300</v>
      </c>
      <c r="E39" s="393" t="s">
        <v>257</v>
      </c>
      <c r="F39" s="392" t="s">
        <v>182</v>
      </c>
      <c r="G39" s="391">
        <v>361399.5</v>
      </c>
      <c r="H39" s="391"/>
      <c r="I39" s="390">
        <v>361399.5</v>
      </c>
    </row>
    <row r="40" spans="2:9" s="100" customFormat="1" ht="15.75" thickBot="1">
      <c r="B40" s="417" t="s">
        <v>256</v>
      </c>
      <c r="C40" s="416"/>
      <c r="D40" s="415"/>
      <c r="E40" s="415"/>
      <c r="F40" s="414"/>
      <c r="G40" s="413">
        <f>ROUND(SUM(G22:G39),5)</f>
        <v>2415000</v>
      </c>
      <c r="H40" s="413">
        <f>ROUND(SUM(H22:H39),5)</f>
        <v>2053600.5</v>
      </c>
      <c r="I40" s="412">
        <f>I39</f>
        <v>361399.5</v>
      </c>
    </row>
    <row r="41" spans="2:9">
      <c r="B41" s="407" t="s">
        <v>255</v>
      </c>
      <c r="C41" s="406"/>
      <c r="D41" s="405"/>
      <c r="E41" s="405"/>
      <c r="F41" s="404"/>
      <c r="G41" s="385"/>
      <c r="H41" s="385"/>
      <c r="I41" s="384"/>
    </row>
    <row r="42" spans="2:9">
      <c r="B42" s="403" t="s">
        <v>80</v>
      </c>
      <c r="C42" s="402">
        <v>44678</v>
      </c>
      <c r="D42" s="401">
        <v>9295</v>
      </c>
      <c r="E42" s="400" t="s">
        <v>250</v>
      </c>
      <c r="F42" s="399" t="s">
        <v>81</v>
      </c>
      <c r="G42" s="398"/>
      <c r="H42" s="398">
        <v>100000</v>
      </c>
      <c r="I42" s="397">
        <v>-100000</v>
      </c>
    </row>
    <row r="43" spans="2:9">
      <c r="B43" s="403" t="s">
        <v>80</v>
      </c>
      <c r="C43" s="402">
        <v>44691</v>
      </c>
      <c r="D43" s="401">
        <v>9293</v>
      </c>
      <c r="E43" s="400" t="s">
        <v>250</v>
      </c>
      <c r="F43" s="399" t="s">
        <v>79</v>
      </c>
      <c r="G43" s="398"/>
      <c r="H43" s="398">
        <v>100000</v>
      </c>
      <c r="I43" s="397">
        <v>-200000</v>
      </c>
    </row>
    <row r="44" spans="2:9">
      <c r="B44" s="403" t="s">
        <v>46</v>
      </c>
      <c r="C44" s="402">
        <v>44694</v>
      </c>
      <c r="D44" s="401">
        <v>14825</v>
      </c>
      <c r="E44" s="400" t="s">
        <v>250</v>
      </c>
      <c r="F44" s="399" t="s">
        <v>76</v>
      </c>
      <c r="G44" s="398">
        <v>321528.90000000002</v>
      </c>
      <c r="H44" s="398"/>
      <c r="I44" s="397">
        <v>121528.9</v>
      </c>
    </row>
    <row r="45" spans="2:9">
      <c r="B45" s="403" t="s">
        <v>42</v>
      </c>
      <c r="C45" s="402">
        <v>44728</v>
      </c>
      <c r="D45" s="401">
        <v>5757</v>
      </c>
      <c r="E45" s="400" t="s">
        <v>250</v>
      </c>
      <c r="F45" s="399" t="s">
        <v>216</v>
      </c>
      <c r="G45" s="398"/>
      <c r="H45" s="398">
        <v>121528.9</v>
      </c>
      <c r="I45" s="397">
        <v>0</v>
      </c>
    </row>
    <row r="46" spans="2:9">
      <c r="B46" s="403" t="s">
        <v>46</v>
      </c>
      <c r="C46" s="402">
        <v>44732</v>
      </c>
      <c r="D46" s="401">
        <v>14903</v>
      </c>
      <c r="E46" s="400" t="s">
        <v>250</v>
      </c>
      <c r="F46" s="399" t="s">
        <v>69</v>
      </c>
      <c r="G46" s="398">
        <v>254806.86</v>
      </c>
      <c r="H46" s="398"/>
      <c r="I46" s="397">
        <v>254806.86</v>
      </c>
    </row>
    <row r="47" spans="2:9">
      <c r="B47" s="403" t="s">
        <v>42</v>
      </c>
      <c r="C47" s="402">
        <v>44762</v>
      </c>
      <c r="D47" s="401">
        <v>6003</v>
      </c>
      <c r="E47" s="400" t="s">
        <v>250</v>
      </c>
      <c r="F47" s="399" t="s">
        <v>214</v>
      </c>
      <c r="G47" s="398"/>
      <c r="H47" s="398">
        <v>254806.86</v>
      </c>
      <c r="I47" s="397">
        <v>0</v>
      </c>
    </row>
    <row r="48" spans="2:9">
      <c r="B48" s="403" t="s">
        <v>46</v>
      </c>
      <c r="C48" s="402">
        <v>44782</v>
      </c>
      <c r="D48" s="401">
        <v>14973</v>
      </c>
      <c r="E48" s="400" t="s">
        <v>250</v>
      </c>
      <c r="F48" s="399" t="s">
        <v>60</v>
      </c>
      <c r="G48" s="398">
        <v>380127.67</v>
      </c>
      <c r="H48" s="398"/>
      <c r="I48" s="397">
        <v>380127.67</v>
      </c>
    </row>
    <row r="49" spans="2:9">
      <c r="B49" s="403" t="s">
        <v>46</v>
      </c>
      <c r="C49" s="402">
        <v>44819</v>
      </c>
      <c r="D49" s="401">
        <v>15008</v>
      </c>
      <c r="E49" s="400" t="s">
        <v>250</v>
      </c>
      <c r="F49" s="399" t="s">
        <v>56</v>
      </c>
      <c r="G49" s="398">
        <v>294906.21999999997</v>
      </c>
      <c r="H49" s="398"/>
      <c r="I49" s="397">
        <v>675033.89</v>
      </c>
    </row>
    <row r="50" spans="2:9">
      <c r="B50" s="403" t="s">
        <v>42</v>
      </c>
      <c r="C50" s="402">
        <v>44819</v>
      </c>
      <c r="D50" s="401">
        <v>6282</v>
      </c>
      <c r="E50" s="400" t="s">
        <v>250</v>
      </c>
      <c r="F50" s="399" t="s">
        <v>55</v>
      </c>
      <c r="G50" s="398">
        <v>156421.21</v>
      </c>
      <c r="H50" s="398"/>
      <c r="I50" s="397">
        <v>831455.1</v>
      </c>
    </row>
    <row r="51" spans="2:9">
      <c r="B51" s="403" t="s">
        <v>42</v>
      </c>
      <c r="C51" s="402">
        <v>44832</v>
      </c>
      <c r="D51" s="401">
        <v>6369</v>
      </c>
      <c r="E51" s="400" t="s">
        <v>250</v>
      </c>
      <c r="F51" s="399" t="s">
        <v>212</v>
      </c>
      <c r="G51" s="398"/>
      <c r="H51" s="398">
        <v>380127.67</v>
      </c>
      <c r="I51" s="397">
        <v>451327.43</v>
      </c>
    </row>
    <row r="52" spans="2:9">
      <c r="B52" s="403" t="s">
        <v>42</v>
      </c>
      <c r="C52" s="402">
        <v>44866</v>
      </c>
      <c r="D52" s="401">
        <v>6618</v>
      </c>
      <c r="E52" s="400" t="s">
        <v>250</v>
      </c>
      <c r="F52" s="399" t="s">
        <v>210</v>
      </c>
      <c r="G52" s="398"/>
      <c r="H52" s="398">
        <v>450248.65</v>
      </c>
      <c r="I52" s="397">
        <v>1078.78</v>
      </c>
    </row>
    <row r="53" spans="2:9" ht="15.75" thickBot="1">
      <c r="B53" s="396" t="s">
        <v>80</v>
      </c>
      <c r="C53" s="395">
        <v>45061</v>
      </c>
      <c r="D53" s="394">
        <v>10629</v>
      </c>
      <c r="E53" s="393" t="s">
        <v>250</v>
      </c>
      <c r="F53" s="392" t="s">
        <v>354</v>
      </c>
      <c r="G53" s="391"/>
      <c r="H53" s="445">
        <v>1078.78</v>
      </c>
      <c r="I53" s="390">
        <v>0</v>
      </c>
    </row>
    <row r="54" spans="2:9" s="100" customFormat="1" ht="15.75" thickBot="1">
      <c r="B54" s="411" t="s">
        <v>249</v>
      </c>
      <c r="C54" s="47"/>
      <c r="D54" s="46"/>
      <c r="E54" s="46"/>
      <c r="F54" s="410"/>
      <c r="G54" s="409">
        <f>ROUND(SUM(G41:G53),5)</f>
        <v>1407790.86</v>
      </c>
      <c r="H54" s="409">
        <f>ROUND(SUM(H41:H53),5)</f>
        <v>1407790.86</v>
      </c>
      <c r="I54" s="408">
        <f>I53</f>
        <v>0</v>
      </c>
    </row>
    <row r="55" spans="2:9">
      <c r="B55" s="407" t="s">
        <v>248</v>
      </c>
      <c r="C55" s="406"/>
      <c r="D55" s="405"/>
      <c r="E55" s="405"/>
      <c r="F55" s="404"/>
      <c r="G55" s="385"/>
      <c r="H55" s="385"/>
      <c r="I55" s="384"/>
    </row>
    <row r="56" spans="2:9">
      <c r="B56" s="403" t="s">
        <v>46</v>
      </c>
      <c r="C56" s="402">
        <v>44694</v>
      </c>
      <c r="D56" s="401">
        <v>14826</v>
      </c>
      <c r="E56" s="400" t="s">
        <v>240</v>
      </c>
      <c r="F56" s="399" t="s">
        <v>75</v>
      </c>
      <c r="G56" s="398">
        <v>176470.56</v>
      </c>
      <c r="H56" s="398"/>
      <c r="I56" s="397">
        <v>176470.56</v>
      </c>
    </row>
    <row r="57" spans="2:9">
      <c r="B57" s="403" t="s">
        <v>42</v>
      </c>
      <c r="C57" s="402">
        <v>44728</v>
      </c>
      <c r="D57" s="401">
        <v>5759</v>
      </c>
      <c r="E57" s="400" t="s">
        <v>240</v>
      </c>
      <c r="F57" s="399" t="s">
        <v>233</v>
      </c>
      <c r="G57" s="398"/>
      <c r="H57" s="398">
        <v>176470.56</v>
      </c>
      <c r="I57" s="397">
        <v>0</v>
      </c>
    </row>
    <row r="58" spans="2:9">
      <c r="B58" s="403" t="s">
        <v>46</v>
      </c>
      <c r="C58" s="402">
        <v>44732</v>
      </c>
      <c r="D58" s="401">
        <v>14904</v>
      </c>
      <c r="E58" s="400" t="s">
        <v>240</v>
      </c>
      <c r="F58" s="399" t="s">
        <v>68</v>
      </c>
      <c r="G58" s="398">
        <v>243571.44</v>
      </c>
      <c r="H58" s="398"/>
      <c r="I58" s="397">
        <v>243571.44</v>
      </c>
    </row>
    <row r="59" spans="2:9">
      <c r="B59" s="403" t="s">
        <v>42</v>
      </c>
      <c r="C59" s="402">
        <v>44762</v>
      </c>
      <c r="D59" s="401">
        <v>6005</v>
      </c>
      <c r="E59" s="400" t="s">
        <v>240</v>
      </c>
      <c r="F59" s="399" t="s">
        <v>231</v>
      </c>
      <c r="G59" s="398"/>
      <c r="H59" s="398">
        <v>243571.44</v>
      </c>
      <c r="I59" s="397">
        <v>0</v>
      </c>
    </row>
    <row r="60" spans="2:9">
      <c r="B60" s="403" t="s">
        <v>46</v>
      </c>
      <c r="C60" s="402">
        <v>44775</v>
      </c>
      <c r="D60" s="401">
        <v>14966</v>
      </c>
      <c r="E60" s="400" t="s">
        <v>240</v>
      </c>
      <c r="F60" s="399" t="s">
        <v>61</v>
      </c>
      <c r="G60" s="398">
        <v>295742.78999999998</v>
      </c>
      <c r="H60" s="398"/>
      <c r="I60" s="397">
        <v>295742.78999999998</v>
      </c>
    </row>
    <row r="61" spans="2:9">
      <c r="B61" s="403" t="s">
        <v>46</v>
      </c>
      <c r="C61" s="402">
        <v>44795</v>
      </c>
      <c r="D61" s="401">
        <v>14974</v>
      </c>
      <c r="E61" s="400" t="s">
        <v>240</v>
      </c>
      <c r="F61" s="399" t="s">
        <v>59</v>
      </c>
      <c r="G61" s="398">
        <v>129546.51</v>
      </c>
      <c r="H61" s="398"/>
      <c r="I61" s="397">
        <v>425289.3</v>
      </c>
    </row>
    <row r="62" spans="2:9">
      <c r="B62" s="403" t="s">
        <v>42</v>
      </c>
      <c r="C62" s="402">
        <v>44813</v>
      </c>
      <c r="D62" s="401">
        <v>6254</v>
      </c>
      <c r="E62" s="400" t="s">
        <v>240</v>
      </c>
      <c r="F62" s="399" t="s">
        <v>229</v>
      </c>
      <c r="G62" s="398"/>
      <c r="H62" s="398">
        <v>295742.78999999998</v>
      </c>
      <c r="I62" s="397">
        <v>129546.51</v>
      </c>
    </row>
    <row r="63" spans="2:9">
      <c r="B63" s="403" t="s">
        <v>42</v>
      </c>
      <c r="C63" s="402">
        <v>44832</v>
      </c>
      <c r="D63" s="401">
        <v>6370</v>
      </c>
      <c r="E63" s="400" t="s">
        <v>240</v>
      </c>
      <c r="F63" s="399" t="s">
        <v>227</v>
      </c>
      <c r="G63" s="398"/>
      <c r="H63" s="398">
        <v>129546.51</v>
      </c>
      <c r="I63" s="397">
        <v>0</v>
      </c>
    </row>
    <row r="64" spans="2:9">
      <c r="B64" s="403" t="s">
        <v>46</v>
      </c>
      <c r="C64" s="402">
        <v>44905</v>
      </c>
      <c r="D64" s="401">
        <v>15028</v>
      </c>
      <c r="E64" s="400" t="s">
        <v>240</v>
      </c>
      <c r="F64" s="399" t="s">
        <v>49</v>
      </c>
      <c r="G64" s="398">
        <v>227509.3</v>
      </c>
      <c r="H64" s="398"/>
      <c r="I64" s="397">
        <v>227509.3</v>
      </c>
    </row>
    <row r="65" spans="2:9" ht="15.75" thickBot="1">
      <c r="B65" s="396" t="s">
        <v>80</v>
      </c>
      <c r="C65" s="395">
        <v>45061</v>
      </c>
      <c r="D65" s="394">
        <v>10629</v>
      </c>
      <c r="E65" s="393" t="s">
        <v>240</v>
      </c>
      <c r="F65" s="392" t="s">
        <v>354</v>
      </c>
      <c r="G65" s="391"/>
      <c r="H65" s="445">
        <v>227509.3</v>
      </c>
      <c r="I65" s="390">
        <v>0</v>
      </c>
    </row>
    <row r="66" spans="2:9" s="100" customFormat="1">
      <c r="B66" s="389" t="s">
        <v>238</v>
      </c>
      <c r="C66" s="388"/>
      <c r="D66" s="387"/>
      <c r="E66" s="387"/>
      <c r="F66" s="386"/>
      <c r="G66" s="385">
        <f>ROUND(SUM(G55:G65),5)</f>
        <v>1072840.6000000001</v>
      </c>
      <c r="H66" s="385">
        <f>ROUND(SUM(H55:H65),5)</f>
        <v>1072840.6000000001</v>
      </c>
      <c r="I66" s="384">
        <f>I65</f>
        <v>0</v>
      </c>
    </row>
    <row r="67" spans="2:9" s="100" customFormat="1" ht="15.75" thickBot="1">
      <c r="B67" s="383" t="s">
        <v>237</v>
      </c>
      <c r="C67" s="382"/>
      <c r="D67" s="381"/>
      <c r="E67" s="381"/>
      <c r="F67" s="380"/>
      <c r="G67" s="379">
        <f>ROUND(G21+G40+G54+G66,5)</f>
        <v>6097341.4699999997</v>
      </c>
      <c r="H67" s="379">
        <f>ROUND(H21+H40+H54+H66,5)</f>
        <v>5701625.2699999996</v>
      </c>
      <c r="I67" s="378">
        <f>ROUND(I21+I40+I54+I66,5)</f>
        <v>395716.2</v>
      </c>
    </row>
    <row r="68" spans="2:9" s="42" customFormat="1" ht="20.100000000000001" customHeight="1" thickBot="1">
      <c r="B68" s="377" t="s">
        <v>121</v>
      </c>
      <c r="C68" s="376"/>
      <c r="D68" s="375"/>
      <c r="E68" s="375"/>
      <c r="F68" s="374"/>
      <c r="G68" s="373">
        <f>G67</f>
        <v>6097341.4699999997</v>
      </c>
      <c r="H68" s="373">
        <f>H67</f>
        <v>5701625.2699999996</v>
      </c>
      <c r="I68" s="372">
        <f>I67</f>
        <v>395716.2</v>
      </c>
    </row>
    <row r="69" spans="2:9" ht="15.75" thickTop="1"/>
  </sheetData>
  <mergeCells count="1">
    <mergeCell ref="B2:I2"/>
  </mergeCells>
  <printOptions horizontalCentered="1"/>
  <pageMargins left="0" right="0" top="0.91" bottom="0.2" header="0.56999999999999995" footer="0.2"/>
  <pageSetup paperSize="8" scale="78" orientation="portrait" r:id="rId1"/>
  <headerFooter>
    <oddHeader>&amp;C&amp;"Arial,Bold"&amp;12 INTHAR SAFETY &amp;&amp; SECURITY SYSTEMS LLC
&amp;14  &amp;R&amp;9&amp;D</oddHeader>
    <oddFooter>&amp;R&amp;"Arial,Regular" Page &amp;P of &amp;N</oddFooter>
  </headerFooter>
  <drawing r:id="rId2"/>
  <legacyDrawing r:id="rId3"/>
  <controls>
    <mc:AlternateContent xmlns:mc="http://schemas.openxmlformats.org/markup-compatibility/2006">
      <mc:Choice Requires="x14">
        <control shapeId="34817" r:id="rId4" name="FILTER">
          <controlPr defaultSize="0" autoLin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34817" r:id="rId4" name="FILTER"/>
      </mc:Fallback>
    </mc:AlternateContent>
    <mc:AlternateContent xmlns:mc="http://schemas.openxmlformats.org/markup-compatibility/2006">
      <mc:Choice Requires="x14">
        <control shapeId="34818" r:id="rId6" name="HEADER">
          <controlPr defaultSize="0" autoLine="0" r:id="rId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34818" r:id="rId6" name="HEADER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B1:N83"/>
  <sheetViews>
    <sheetView topLeftCell="B1" zoomScaleNormal="100" zoomScaleSheetLayoutView="100" workbookViewId="0">
      <pane xSplit="3" ySplit="10" topLeftCell="E11" activePane="bottomRight" state="frozen"/>
      <selection activeCell="B1" sqref="B1"/>
      <selection pane="topRight" activeCell="H1" sqref="H1"/>
      <selection pane="bottomLeft" activeCell="B19" sqref="B19"/>
      <selection pane="bottomRight" activeCell="E25" sqref="E25"/>
    </sheetView>
  </sheetViews>
  <sheetFormatPr defaultColWidth="9.140625" defaultRowHeight="14.25"/>
  <cols>
    <col min="1" max="1" width="9.140625" style="3"/>
    <col min="2" max="2" width="9.140625" style="181"/>
    <col min="3" max="3" width="14" style="2" customWidth="1"/>
    <col min="4" max="4" width="64.7109375" style="2" customWidth="1"/>
    <col min="5" max="6" width="16.28515625" style="16" customWidth="1"/>
    <col min="7" max="7" width="16.140625" style="16" bestFit="1" customWidth="1"/>
    <col min="8" max="8" width="5.140625" style="64" bestFit="1" customWidth="1"/>
    <col min="9" max="9" width="13.5703125" style="284" bestFit="1" customWidth="1"/>
    <col min="10" max="10" width="4.7109375" style="283" bestFit="1" customWidth="1"/>
    <col min="11" max="11" width="5.140625" style="3" bestFit="1" customWidth="1"/>
    <col min="12" max="12" width="14.28515625" style="3" bestFit="1" customWidth="1"/>
    <col min="13" max="13" width="12.7109375" style="3" bestFit="1" customWidth="1"/>
    <col min="14" max="14" width="11.5703125" style="3" customWidth="1"/>
    <col min="15" max="16384" width="9.140625" style="3"/>
  </cols>
  <sheetData>
    <row r="1" spans="2:14" s="21" customFormat="1" ht="23.25" customHeight="1">
      <c r="B1" s="190"/>
      <c r="C1" s="191" t="s">
        <v>279</v>
      </c>
      <c r="D1" s="190"/>
      <c r="E1" s="719" t="s">
        <v>13</v>
      </c>
      <c r="F1" s="719"/>
      <c r="G1" s="719"/>
      <c r="H1" s="192"/>
      <c r="I1" s="304"/>
      <c r="J1" s="303"/>
    </row>
    <row r="2" spans="2:14" ht="13.9" customHeight="1">
      <c r="C2" s="4" t="s">
        <v>11</v>
      </c>
      <c r="D2" s="1"/>
      <c r="E2" s="712"/>
      <c r="F2" s="712"/>
      <c r="G2" s="712"/>
    </row>
    <row r="3" spans="2:14">
      <c r="C3" s="3" t="s">
        <v>22</v>
      </c>
      <c r="D3" s="3"/>
      <c r="E3" s="720" t="s">
        <v>6</v>
      </c>
      <c r="F3" s="720"/>
      <c r="G3" s="5">
        <f ca="1">TODAY()</f>
        <v>45298</v>
      </c>
    </row>
    <row r="4" spans="2:14">
      <c r="C4" s="3" t="s">
        <v>23</v>
      </c>
      <c r="D4" s="3"/>
      <c r="E4" s="168" t="s">
        <v>5</v>
      </c>
      <c r="F4" s="3"/>
      <c r="G4" s="3"/>
    </row>
    <row r="5" spans="2:14" ht="15">
      <c r="C5" s="6"/>
      <c r="D5" s="181"/>
      <c r="E5" s="181"/>
      <c r="F5" s="181"/>
      <c r="G5" s="181"/>
      <c r="H5" s="181"/>
      <c r="I5" s="302"/>
    </row>
    <row r="6" spans="2:14" ht="15">
      <c r="C6" s="23" t="s">
        <v>0</v>
      </c>
      <c r="D6" s="6" t="s">
        <v>14</v>
      </c>
      <c r="E6" s="7"/>
      <c r="F6" s="7"/>
      <c r="G6" s="7"/>
    </row>
    <row r="7" spans="2:14" ht="15">
      <c r="C7" s="6" t="s">
        <v>1</v>
      </c>
      <c r="D7" s="4" t="s">
        <v>19</v>
      </c>
      <c r="E7" s="7" t="s">
        <v>3</v>
      </c>
      <c r="F7" s="7"/>
      <c r="G7" s="14">
        <f>G48</f>
        <v>760660.62999999966</v>
      </c>
    </row>
    <row r="8" spans="2:14" ht="15">
      <c r="C8" s="6" t="s">
        <v>2</v>
      </c>
      <c r="D8" s="4" t="s">
        <v>20</v>
      </c>
      <c r="E8" s="7" t="s">
        <v>236</v>
      </c>
      <c r="F8" s="3"/>
      <c r="G8" s="3"/>
    </row>
    <row r="9" spans="2:14" ht="6.75" customHeight="1" thickBot="1">
      <c r="C9" s="6"/>
      <c r="D9" s="4"/>
      <c r="E9" s="3"/>
      <c r="F9" s="3"/>
      <c r="G9" s="3"/>
    </row>
    <row r="10" spans="2:14" s="22" customFormat="1" ht="50.1" customHeight="1" thickBot="1">
      <c r="B10" s="181"/>
      <c r="C10" s="138" t="s">
        <v>7</v>
      </c>
      <c r="D10" s="227" t="s">
        <v>8</v>
      </c>
      <c r="E10" s="228" t="s">
        <v>4</v>
      </c>
      <c r="F10" s="228" t="s">
        <v>90</v>
      </c>
      <c r="G10" s="228" t="s">
        <v>31</v>
      </c>
      <c r="H10" s="64"/>
      <c r="I10" s="284"/>
      <c r="J10" s="283"/>
      <c r="K10" s="83"/>
      <c r="L10" s="84"/>
      <c r="M10" s="82"/>
    </row>
    <row r="11" spans="2:14" s="143" customFormat="1" ht="17.100000000000001" customHeight="1">
      <c r="B11" s="182"/>
      <c r="C11" s="229"/>
      <c r="D11" s="140"/>
      <c r="E11" s="141"/>
      <c r="F11" s="141"/>
      <c r="G11" s="141"/>
      <c r="H11" s="142"/>
      <c r="I11" s="301"/>
      <c r="J11" s="300"/>
    </row>
    <row r="12" spans="2:14" ht="17.100000000000001" customHeight="1">
      <c r="C12" s="230" t="s">
        <v>325</v>
      </c>
      <c r="D12" s="25" t="s">
        <v>16</v>
      </c>
      <c r="E12" s="28"/>
      <c r="F12" s="28"/>
      <c r="G12" s="28"/>
    </row>
    <row r="13" spans="2:14" ht="17.100000000000001" customHeight="1">
      <c r="C13" s="231"/>
      <c r="D13" s="69" t="s">
        <v>15</v>
      </c>
      <c r="E13" s="29">
        <v>0</v>
      </c>
      <c r="F13" s="29">
        <v>1300000</v>
      </c>
      <c r="G13" s="29">
        <f>E13+F13</f>
        <v>1300000</v>
      </c>
      <c r="I13" s="297"/>
      <c r="J13" s="296"/>
    </row>
    <row r="14" spans="2:14" ht="17.100000000000001" customHeight="1">
      <c r="C14" s="231"/>
      <c r="D14" s="187" t="s">
        <v>278</v>
      </c>
      <c r="E14" s="63">
        <f>G13*0%</f>
        <v>0</v>
      </c>
      <c r="F14" s="63"/>
      <c r="G14" s="29">
        <f>G13-E14+F14</f>
        <v>1300000</v>
      </c>
      <c r="I14" s="297"/>
    </row>
    <row r="15" spans="2:14" ht="17.100000000000001" customHeight="1">
      <c r="C15" s="232"/>
      <c r="D15" s="71" t="s">
        <v>25</v>
      </c>
      <c r="E15" s="29"/>
      <c r="F15" s="29">
        <f>G14*5%</f>
        <v>65000</v>
      </c>
      <c r="G15" s="29">
        <f>G14-E15+F15</f>
        <v>1365000</v>
      </c>
      <c r="K15" s="86"/>
    </row>
    <row r="16" spans="2:14" ht="17.100000000000001" customHeight="1" thickBot="1">
      <c r="B16" s="183"/>
      <c r="C16" s="233"/>
      <c r="D16" s="72" t="s">
        <v>24</v>
      </c>
      <c r="E16" s="30">
        <f>797160.01+50000+250000+70233.3</f>
        <v>1167393.31</v>
      </c>
      <c r="F16" s="29"/>
      <c r="G16" s="30">
        <f>G15-E16+F16</f>
        <v>197606.68999999994</v>
      </c>
      <c r="H16" s="64">
        <f>E16-'366'!S19</f>
        <v>0</v>
      </c>
      <c r="I16" s="284">
        <f>E16</f>
        <v>1167393.31</v>
      </c>
      <c r="J16" s="296">
        <f>E16/(G13+F15)</f>
        <v>0.85523319413919419</v>
      </c>
      <c r="K16" s="37"/>
      <c r="L16" s="35"/>
      <c r="M16" s="35"/>
      <c r="N16" s="85"/>
    </row>
    <row r="17" spans="2:11" ht="17.100000000000001" customHeight="1" thickBot="1">
      <c r="C17" s="234"/>
      <c r="D17" s="73" t="s">
        <v>12</v>
      </c>
      <c r="E17" s="31">
        <f>SUM(E13:E16)</f>
        <v>1167393.31</v>
      </c>
      <c r="F17" s="31">
        <f>F13+F15-F16</f>
        <v>1365000</v>
      </c>
      <c r="G17" s="31">
        <f>G16</f>
        <v>197606.68999999994</v>
      </c>
      <c r="H17" s="64">
        <f>F13-E14+F15-E16-G17</f>
        <v>0</v>
      </c>
      <c r="I17" s="284">
        <f>E16/105%</f>
        <v>1111803.1523809524</v>
      </c>
      <c r="J17" s="296">
        <f>I17/G13</f>
        <v>0.85523319413919419</v>
      </c>
    </row>
    <row r="18" spans="2:11" s="8" customFormat="1" ht="17.100000000000001" customHeight="1">
      <c r="B18" s="184"/>
      <c r="C18" s="235"/>
      <c r="D18" s="24"/>
      <c r="E18" s="27"/>
      <c r="F18" s="27"/>
      <c r="G18" s="27"/>
      <c r="H18" s="64">
        <f>-E17+F17-G17</f>
        <v>0</v>
      </c>
      <c r="I18" s="299"/>
      <c r="J18" s="298"/>
    </row>
    <row r="19" spans="2:11" ht="17.100000000000001" customHeight="1">
      <c r="C19" s="230" t="s">
        <v>326</v>
      </c>
      <c r="D19" s="25" t="s">
        <v>27</v>
      </c>
      <c r="E19" s="28"/>
      <c r="F19" s="28"/>
      <c r="G19" s="28"/>
      <c r="K19" s="86"/>
    </row>
    <row r="20" spans="2:11" ht="17.100000000000001" customHeight="1">
      <c r="C20" s="231"/>
      <c r="D20" s="69" t="s">
        <v>15</v>
      </c>
      <c r="E20" s="29">
        <v>0</v>
      </c>
      <c r="F20" s="29">
        <v>2300000</v>
      </c>
      <c r="G20" s="29">
        <f>E20+F20</f>
        <v>2300000</v>
      </c>
    </row>
    <row r="21" spans="2:11" ht="17.100000000000001" customHeight="1">
      <c r="C21" s="231"/>
      <c r="D21" s="187" t="s">
        <v>278</v>
      </c>
      <c r="E21" s="63">
        <f>G20*0%</f>
        <v>0</v>
      </c>
      <c r="F21" s="63"/>
      <c r="G21" s="29">
        <f>G20-E21+F21</f>
        <v>2300000</v>
      </c>
      <c r="I21" s="297"/>
    </row>
    <row r="22" spans="2:11" ht="17.100000000000001" customHeight="1">
      <c r="C22" s="232"/>
      <c r="D22" s="74" t="s">
        <v>25</v>
      </c>
      <c r="E22" s="29"/>
      <c r="F22" s="29">
        <f>G21*5%</f>
        <v>115000</v>
      </c>
      <c r="G22" s="29">
        <f t="shared" ref="G22:G23" si="0">G21-E22+F22</f>
        <v>2415000</v>
      </c>
    </row>
    <row r="23" spans="2:11" ht="17.100000000000001" customHeight="1" thickBot="1">
      <c r="B23" s="183"/>
      <c r="C23" s="233"/>
      <c r="D23" s="72" t="s">
        <v>24</v>
      </c>
      <c r="E23" s="30">
        <f>217067.76+136753.68+85322.16+225289.68+146813.52+689850+552503.7</f>
        <v>2053600.5</v>
      </c>
      <c r="F23" s="30"/>
      <c r="G23" s="30">
        <f t="shared" si="0"/>
        <v>361399.5</v>
      </c>
      <c r="H23" s="64">
        <f>E23-'373'!$S$20</f>
        <v>0</v>
      </c>
      <c r="I23" s="284">
        <f>E23</f>
        <v>2053600.5</v>
      </c>
      <c r="J23" s="296">
        <f>E23/(G20+F22)</f>
        <v>0.85035217391304352</v>
      </c>
    </row>
    <row r="24" spans="2:11" ht="17.100000000000001" customHeight="1" thickBot="1">
      <c r="C24" s="234"/>
      <c r="D24" s="73" t="s">
        <v>12</v>
      </c>
      <c r="E24" s="31">
        <f>SUM(E20:E23)</f>
        <v>2053600.5</v>
      </c>
      <c r="F24" s="31">
        <f>F20+F22-F23</f>
        <v>2415000</v>
      </c>
      <c r="G24" s="31">
        <f>G23</f>
        <v>361399.5</v>
      </c>
      <c r="H24" s="64">
        <f>F20-E21+F22-E23-G24</f>
        <v>0</v>
      </c>
      <c r="I24" s="284">
        <f>E23/105%</f>
        <v>1955810</v>
      </c>
      <c r="J24" s="296">
        <f>I24/G20</f>
        <v>0.85035217391304352</v>
      </c>
    </row>
    <row r="25" spans="2:11" s="8" customFormat="1" ht="17.100000000000001" customHeight="1">
      <c r="B25" s="184"/>
      <c r="C25" s="235"/>
      <c r="D25" s="24"/>
      <c r="E25" s="27"/>
      <c r="F25" s="27"/>
      <c r="G25" s="27"/>
      <c r="H25" s="64">
        <f>E24-F24+G24</f>
        <v>0</v>
      </c>
      <c r="I25" s="299"/>
      <c r="J25" s="298"/>
    </row>
    <row r="26" spans="2:11" ht="17.100000000000001" customHeight="1">
      <c r="C26" s="230" t="s">
        <v>327</v>
      </c>
      <c r="D26" s="26" t="s">
        <v>30</v>
      </c>
      <c r="E26" s="28"/>
      <c r="F26" s="28"/>
      <c r="G26" s="28"/>
    </row>
    <row r="27" spans="2:11" ht="17.100000000000001" customHeight="1">
      <c r="C27" s="231"/>
      <c r="D27" s="69" t="s">
        <v>15</v>
      </c>
      <c r="E27" s="29">
        <v>0</v>
      </c>
      <c r="F27" s="29">
        <v>1500000</v>
      </c>
      <c r="G27" s="29">
        <f>E27+F27</f>
        <v>1500000</v>
      </c>
    </row>
    <row r="28" spans="2:11" ht="17.100000000000001" customHeight="1">
      <c r="C28" s="231"/>
      <c r="D28" s="187" t="s">
        <v>278</v>
      </c>
      <c r="E28" s="63">
        <f>G27*0%</f>
        <v>0</v>
      </c>
      <c r="F28" s="63"/>
      <c r="G28" s="29">
        <f t="shared" ref="G28:G30" si="1">G27-E28+F28</f>
        <v>1500000</v>
      </c>
      <c r="I28" s="297"/>
    </row>
    <row r="29" spans="2:11" ht="17.100000000000001" customHeight="1">
      <c r="C29" s="232"/>
      <c r="D29" s="74" t="s">
        <v>25</v>
      </c>
      <c r="E29" s="29"/>
      <c r="F29" s="29">
        <f>G28*5%</f>
        <v>75000</v>
      </c>
      <c r="G29" s="29">
        <f t="shared" si="1"/>
        <v>1575000</v>
      </c>
    </row>
    <row r="30" spans="2:11" ht="17.100000000000001" customHeight="1" thickBot="1">
      <c r="B30" s="183"/>
      <c r="C30" s="233"/>
      <c r="D30" s="72" t="s">
        <v>24</v>
      </c>
      <c r="E30" s="30">
        <f>100000+100000+121528.9+254806.86+380127.67+450248.65+1078.78</f>
        <v>1407790.86</v>
      </c>
      <c r="F30" s="30"/>
      <c r="G30" s="30">
        <f t="shared" si="1"/>
        <v>167209.1399999999</v>
      </c>
      <c r="H30" s="64">
        <f>E30-'374'!$S$15</f>
        <v>0</v>
      </c>
      <c r="I30" s="284">
        <f>E30</f>
        <v>1407790.86</v>
      </c>
      <c r="J30" s="296">
        <f>(E30+F80)/(G27+F29)</f>
        <v>0.90035876825396832</v>
      </c>
    </row>
    <row r="31" spans="2:11" ht="17.100000000000001" customHeight="1" thickBot="1">
      <c r="C31" s="234"/>
      <c r="D31" s="73" t="s">
        <v>12</v>
      </c>
      <c r="E31" s="31">
        <f>SUM(E27:E30)</f>
        <v>1407790.86</v>
      </c>
      <c r="F31" s="31">
        <f>F27+F29-F30</f>
        <v>1575000</v>
      </c>
      <c r="G31" s="31">
        <f>G30</f>
        <v>167209.1399999999</v>
      </c>
      <c r="H31" s="64">
        <f>F27-E28+F29-E30-G31</f>
        <v>0</v>
      </c>
      <c r="I31" s="284">
        <f>(E30+F80)/105%</f>
        <v>1350538.1523809524</v>
      </c>
      <c r="J31" s="296">
        <f>I31/G27</f>
        <v>0.90035876825396821</v>
      </c>
    </row>
    <row r="32" spans="2:11" s="8" customFormat="1" ht="17.100000000000001" customHeight="1">
      <c r="B32" s="184"/>
      <c r="C32" s="235"/>
      <c r="D32" s="24"/>
      <c r="E32" s="27"/>
      <c r="F32" s="27"/>
      <c r="G32" s="27"/>
      <c r="H32" s="64">
        <f>E31-F31+G31</f>
        <v>0</v>
      </c>
      <c r="I32" s="299"/>
      <c r="J32" s="298"/>
    </row>
    <row r="33" spans="2:11" ht="17.100000000000001" customHeight="1">
      <c r="C33" s="230" t="s">
        <v>328</v>
      </c>
      <c r="D33" s="26" t="s">
        <v>17</v>
      </c>
      <c r="E33" s="28"/>
      <c r="F33" s="28"/>
      <c r="G33" s="28"/>
    </row>
    <row r="34" spans="2:11" ht="17.100000000000001" customHeight="1">
      <c r="C34" s="231"/>
      <c r="D34" s="69" t="s">
        <v>15</v>
      </c>
      <c r="E34" s="29">
        <v>0</v>
      </c>
      <c r="F34" s="29">
        <v>1500000</v>
      </c>
      <c r="G34" s="29">
        <f>E34+F34</f>
        <v>1500000</v>
      </c>
    </row>
    <row r="35" spans="2:11" ht="17.100000000000001" customHeight="1">
      <c r="C35" s="231"/>
      <c r="D35" s="187" t="s">
        <v>278</v>
      </c>
      <c r="E35" s="63">
        <f>G34*0%</f>
        <v>0</v>
      </c>
      <c r="F35" s="63"/>
      <c r="G35" s="29">
        <f t="shared" ref="G35:G39" si="2">G34-E35+F35</f>
        <v>1500000</v>
      </c>
      <c r="I35" s="297"/>
    </row>
    <row r="36" spans="2:11" ht="17.100000000000001" customHeight="1">
      <c r="C36" s="232"/>
      <c r="D36" s="75" t="s">
        <v>25</v>
      </c>
      <c r="E36" s="62"/>
      <c r="F36" s="62">
        <f>G35*5%</f>
        <v>75000</v>
      </c>
      <c r="G36" s="29">
        <f t="shared" si="2"/>
        <v>1575000</v>
      </c>
    </row>
    <row r="37" spans="2:11" ht="17.100000000000001" customHeight="1">
      <c r="C37" s="236"/>
      <c r="D37" s="72" t="s">
        <v>33</v>
      </c>
      <c r="E37" s="30">
        <v>243644.1</v>
      </c>
      <c r="F37" s="30"/>
      <c r="G37" s="29">
        <f t="shared" si="2"/>
        <v>1331355.8999999999</v>
      </c>
    </row>
    <row r="38" spans="2:11" ht="17.100000000000001" customHeight="1">
      <c r="C38" s="236"/>
      <c r="D38" s="72" t="s">
        <v>32</v>
      </c>
      <c r="E38" s="30">
        <v>224070</v>
      </c>
      <c r="F38" s="30"/>
      <c r="G38" s="29">
        <f t="shared" si="2"/>
        <v>1107285.8999999999</v>
      </c>
    </row>
    <row r="39" spans="2:11" ht="17.100000000000001" customHeight="1" thickBot="1">
      <c r="B39" s="183"/>
      <c r="C39" s="233"/>
      <c r="D39" s="72" t="s">
        <v>24</v>
      </c>
      <c r="E39" s="30">
        <f>176470.56+243571.44+295742.79+129546.51+227509.3</f>
        <v>1072840.6000000001</v>
      </c>
      <c r="F39" s="30"/>
      <c r="G39" s="30">
        <f t="shared" si="2"/>
        <v>34445.299999999814</v>
      </c>
      <c r="H39" s="64">
        <f>E39-'375'!$S$13</f>
        <v>0</v>
      </c>
      <c r="I39" s="284">
        <f>SUM(E37:E39)</f>
        <v>1540554.7000000002</v>
      </c>
      <c r="J39" s="296">
        <f>SUM(E37:E39)/(G34+F36)</f>
        <v>0.97812996825396836</v>
      </c>
    </row>
    <row r="40" spans="2:11" ht="17.100000000000001" customHeight="1" thickBot="1">
      <c r="B40" s="183"/>
      <c r="C40" s="234"/>
      <c r="D40" s="73" t="s">
        <v>12</v>
      </c>
      <c r="E40" s="31">
        <f>SUM(E34:E39)</f>
        <v>1540554.7000000002</v>
      </c>
      <c r="F40" s="31">
        <f>F34+F36-F37-F38-F39</f>
        <v>1575000</v>
      </c>
      <c r="G40" s="31">
        <f>G39</f>
        <v>34445.299999999814</v>
      </c>
      <c r="H40" s="64">
        <f>G34-E35+F36-(E37+E38+E39)-G40</f>
        <v>0</v>
      </c>
      <c r="I40" s="284">
        <f>(E39+E38+E37)/105%</f>
        <v>1467194.9523809524</v>
      </c>
      <c r="J40" s="296">
        <f>I40/G34</f>
        <v>0.97812996825396825</v>
      </c>
    </row>
    <row r="41" spans="2:11" ht="17.100000000000001" customHeight="1" thickBot="1">
      <c r="C41" s="237"/>
      <c r="D41" s="76"/>
      <c r="E41" s="68"/>
      <c r="F41" s="68"/>
      <c r="G41" s="68"/>
      <c r="H41" s="64">
        <f>-E40+F40-G40</f>
        <v>0</v>
      </c>
    </row>
    <row r="42" spans="2:11" ht="17.100000000000001" customHeight="1" thickBot="1">
      <c r="C42" s="234"/>
      <c r="D42" s="73" t="s">
        <v>18</v>
      </c>
      <c r="E42" s="31">
        <f>SUM(E17,E24,E31,E40)</f>
        <v>6169339.3700000001</v>
      </c>
      <c r="F42" s="31"/>
      <c r="G42" s="31">
        <f>G17+G24+G31+G40</f>
        <v>760660.62999999966</v>
      </c>
    </row>
    <row r="43" spans="2:11" ht="5.0999999999999996" customHeight="1" thickBot="1">
      <c r="C43" s="238"/>
      <c r="D43" s="21"/>
      <c r="E43" s="32"/>
      <c r="F43" s="32"/>
      <c r="G43" s="32"/>
      <c r="H43" s="65"/>
      <c r="I43" s="295"/>
    </row>
    <row r="44" spans="2:11" ht="17.100000000000001" customHeight="1">
      <c r="C44" s="239"/>
      <c r="D44" s="77" t="s">
        <v>26</v>
      </c>
      <c r="E44" s="33">
        <f>SUM(E13,E20,E34,E27)</f>
        <v>0</v>
      </c>
      <c r="F44" s="33">
        <f>SUM(F13,F20,F34,F27)</f>
        <v>6600000</v>
      </c>
      <c r="G44" s="33">
        <f>E44+F44</f>
        <v>6600000</v>
      </c>
      <c r="I44" s="286">
        <f>SUM(G13,G20,G27,G34)</f>
        <v>6600000</v>
      </c>
    </row>
    <row r="45" spans="2:11" ht="17.100000000000001" customHeight="1">
      <c r="C45" s="232"/>
      <c r="D45" s="74" t="s">
        <v>104</v>
      </c>
      <c r="E45" s="29">
        <f>SUM(E35,E28,E21,E14)</f>
        <v>0</v>
      </c>
      <c r="F45" s="29">
        <v>0</v>
      </c>
      <c r="G45" s="29">
        <f>G44-E45+F45</f>
        <v>6600000</v>
      </c>
      <c r="I45" s="284">
        <f>SUM(E14,E21,E28,E35)</f>
        <v>0</v>
      </c>
    </row>
    <row r="46" spans="2:11" ht="17.100000000000001" customHeight="1">
      <c r="C46" s="232"/>
      <c r="D46" s="74" t="s">
        <v>105</v>
      </c>
      <c r="E46" s="29">
        <f>E44*5%</f>
        <v>0</v>
      </c>
      <c r="F46" s="29">
        <f>SUM(F36,F29,F22,F15)</f>
        <v>330000</v>
      </c>
      <c r="G46" s="29">
        <f>G45-E46+F46</f>
        <v>6930000</v>
      </c>
      <c r="H46" s="64">
        <f>((G14+G21)*5%)+((G28+G35)*5%)-F46</f>
        <v>0</v>
      </c>
      <c r="I46" s="284">
        <f>SUM(F15,F22,F29,F36)</f>
        <v>330000</v>
      </c>
    </row>
    <row r="47" spans="2:11" ht="17.100000000000001" customHeight="1" thickBot="1">
      <c r="C47" s="236"/>
      <c r="D47" s="78" t="s">
        <v>107</v>
      </c>
      <c r="E47" s="30">
        <v>0</v>
      </c>
      <c r="F47" s="30">
        <f>SUM(E16,E23,E30,E37:E39)</f>
        <v>6169339.3699999992</v>
      </c>
      <c r="G47" s="30">
        <f>G46+E47-F47</f>
        <v>760660.63000000082</v>
      </c>
      <c r="I47" s="286">
        <f>SUM(E16,E23,E30,E37:E39)</f>
        <v>6169339.3699999992</v>
      </c>
    </row>
    <row r="48" spans="2:11" s="9" customFormat="1" ht="21.75" customHeight="1" thickBot="1">
      <c r="B48" s="185"/>
      <c r="C48" s="240"/>
      <c r="D48" s="79" t="s">
        <v>34</v>
      </c>
      <c r="E48" s="34"/>
      <c r="F48" s="34"/>
      <c r="G48" s="34">
        <f>G42</f>
        <v>760660.62999999966</v>
      </c>
      <c r="H48" s="307">
        <f>G44-E45+F46-F47-G48</f>
        <v>1.1641532182693481E-9</v>
      </c>
      <c r="I48" s="307">
        <f>I44-I45+I46-I47-G48</f>
        <v>1.1641532182693481E-9</v>
      </c>
      <c r="J48" s="307"/>
      <c r="K48" s="307">
        <f>I44-I45+I46-I47-G48</f>
        <v>1.1641532182693481E-9</v>
      </c>
    </row>
    <row r="49" spans="2:10" ht="19.5" customHeight="1">
      <c r="C49" s="10"/>
      <c r="D49" s="11"/>
      <c r="E49" s="12"/>
      <c r="F49" s="12"/>
      <c r="G49" s="12"/>
      <c r="I49" s="293">
        <f>G48</f>
        <v>760660.62999999966</v>
      </c>
    </row>
    <row r="50" spans="2:10" ht="15">
      <c r="C50" s="4" t="s">
        <v>9</v>
      </c>
      <c r="G50" s="14"/>
      <c r="I50" s="293">
        <f>-SUM(F65,I66,F67:F72)</f>
        <v>-1358929.52</v>
      </c>
      <c r="J50" s="294"/>
    </row>
    <row r="51" spans="2:10" ht="15">
      <c r="C51" s="4" t="s">
        <v>10</v>
      </c>
      <c r="G51" s="14"/>
      <c r="I51" s="305">
        <f>SUM(I49:I50)</f>
        <v>-598268.89000000036</v>
      </c>
      <c r="J51" s="292"/>
    </row>
    <row r="52" spans="2:10" ht="15">
      <c r="C52" s="4" t="s">
        <v>28</v>
      </c>
      <c r="E52" s="14"/>
      <c r="F52" s="14"/>
      <c r="G52" s="14"/>
      <c r="J52" s="287"/>
    </row>
    <row r="53" spans="2:10" ht="15">
      <c r="C53" s="4" t="s">
        <v>29</v>
      </c>
      <c r="E53" s="14"/>
      <c r="F53" s="14"/>
      <c r="G53" s="14"/>
      <c r="I53" s="284">
        <f>F47</f>
        <v>6169339.3699999992</v>
      </c>
      <c r="J53" s="287"/>
    </row>
    <row r="54" spans="2:10" ht="18">
      <c r="C54" s="15" t="s">
        <v>21</v>
      </c>
      <c r="I54" s="284">
        <f>SUM(F65,I66,F67:F72)</f>
        <v>1358929.52</v>
      </c>
      <c r="J54" s="287"/>
    </row>
    <row r="55" spans="2:10" ht="15" thickBot="1">
      <c r="C55" s="17"/>
      <c r="D55" s="4"/>
      <c r="E55" s="18"/>
      <c r="F55" s="67"/>
      <c r="G55" s="18"/>
      <c r="I55" s="286">
        <f>SUM(I53:I54)</f>
        <v>7528268.8899999987</v>
      </c>
      <c r="J55" s="285"/>
    </row>
    <row r="56" spans="2:10">
      <c r="C56" s="254"/>
      <c r="D56" s="255" t="s">
        <v>330</v>
      </c>
      <c r="E56" s="255"/>
      <c r="F56" s="256">
        <f>'Payment Details.'!Z71</f>
        <v>700000</v>
      </c>
      <c r="G56" s="257"/>
      <c r="I56" s="284">
        <f>G46</f>
        <v>6930000</v>
      </c>
      <c r="J56" s="291"/>
    </row>
    <row r="57" spans="2:10">
      <c r="C57" s="220"/>
      <c r="D57" s="221" t="s">
        <v>331</v>
      </c>
      <c r="E57" s="221"/>
      <c r="F57" s="222">
        <f>'Payment Details.'!Z72</f>
        <v>200000</v>
      </c>
      <c r="G57" s="223"/>
      <c r="I57" s="305">
        <f>I56-I55</f>
        <v>-598268.88999999873</v>
      </c>
      <c r="J57" s="290"/>
    </row>
    <row r="58" spans="2:10">
      <c r="C58" s="220"/>
      <c r="D58" s="221" t="s">
        <v>332</v>
      </c>
      <c r="E58" s="221"/>
      <c r="F58" s="222">
        <f>'Payment Details.'!Z73</f>
        <v>3260450.1899999995</v>
      </c>
      <c r="G58" s="223"/>
    </row>
    <row r="59" spans="2:10" ht="15">
      <c r="C59" s="220"/>
      <c r="D59" s="221" t="s">
        <v>333</v>
      </c>
      <c r="E59" s="221"/>
      <c r="F59" s="222">
        <f>'Payment Details.'!Z74</f>
        <v>851325.08000000007</v>
      </c>
      <c r="G59" s="223"/>
    </row>
    <row r="60" spans="2:10" ht="15.75" thickBot="1">
      <c r="C60" s="241"/>
      <c r="D60" s="242" t="s">
        <v>334</v>
      </c>
      <c r="E60" s="242"/>
      <c r="F60" s="243">
        <f>'Payment Details.'!Z75</f>
        <v>689850</v>
      </c>
      <c r="G60" s="244"/>
    </row>
    <row r="61" spans="2:10" s="19" customFormat="1" ht="20.100000000000001" customHeight="1" thickBot="1">
      <c r="B61" s="188"/>
      <c r="C61" s="245"/>
      <c r="D61" s="246" t="str">
        <f>'Payment Details.'!N76</f>
        <v>Total</v>
      </c>
      <c r="E61" s="247"/>
      <c r="F61" s="248">
        <f>SUM(F56:F60)</f>
        <v>5701625.2699999996</v>
      </c>
      <c r="G61" s="249">
        <f>F61-'Payment Details.'!$Z$68</f>
        <v>0</v>
      </c>
      <c r="H61" s="189"/>
      <c r="I61" s="286"/>
      <c r="J61" s="289"/>
    </row>
    <row r="62" spans="2:10" s="19" customFormat="1" ht="9.75" customHeight="1" thickBot="1">
      <c r="B62" s="188"/>
      <c r="C62" s="258"/>
      <c r="D62" s="259"/>
      <c r="F62" s="198"/>
      <c r="G62" s="260"/>
      <c r="H62" s="189"/>
      <c r="I62" s="286"/>
      <c r="J62" s="289"/>
    </row>
    <row r="63" spans="2:10" ht="20.100000000000001" customHeight="1">
      <c r="B63" s="38"/>
      <c r="C63" s="261"/>
      <c r="D63" s="262" t="s">
        <v>285</v>
      </c>
      <c r="E63" s="255"/>
      <c r="F63" s="257"/>
      <c r="G63" s="263"/>
      <c r="H63" s="37"/>
      <c r="I63" s="286"/>
      <c r="J63" s="285"/>
    </row>
    <row r="64" spans="2:10" ht="15">
      <c r="C64" s="224"/>
      <c r="D64" s="220" t="s">
        <v>335</v>
      </c>
      <c r="E64" s="221"/>
      <c r="F64" s="225">
        <v>243644.1</v>
      </c>
      <c r="G64" s="223"/>
      <c r="I64" s="286"/>
      <c r="J64" s="285"/>
    </row>
    <row r="65" spans="2:10" ht="15">
      <c r="C65" s="224"/>
      <c r="D65" s="220" t="s">
        <v>337</v>
      </c>
      <c r="E65" s="221"/>
      <c r="F65" s="225">
        <v>37800</v>
      </c>
      <c r="G65" s="225"/>
      <c r="I65" s="287"/>
      <c r="J65" s="285"/>
    </row>
    <row r="66" spans="2:10" ht="15">
      <c r="C66" s="306" t="s">
        <v>329</v>
      </c>
      <c r="D66" s="220" t="s">
        <v>336</v>
      </c>
      <c r="E66" s="221"/>
      <c r="F66" s="226">
        <v>246246</v>
      </c>
      <c r="G66" s="226">
        <v>224070</v>
      </c>
      <c r="I66" s="288">
        <f>F66-G66</f>
        <v>22176</v>
      </c>
      <c r="J66" s="285"/>
    </row>
    <row r="67" spans="2:10" ht="15">
      <c r="C67" s="224"/>
      <c r="D67" s="220" t="s">
        <v>338</v>
      </c>
      <c r="E67" s="221"/>
      <c r="F67" s="225">
        <f>290000+237024.9</f>
        <v>527024.9</v>
      </c>
      <c r="G67" s="225"/>
      <c r="I67" s="287"/>
      <c r="J67" s="285"/>
    </row>
    <row r="68" spans="2:10" ht="15">
      <c r="C68" s="224"/>
      <c r="D68" s="220" t="s">
        <v>339</v>
      </c>
      <c r="E68" s="221"/>
      <c r="F68" s="225">
        <f>180698.55+42306.6+(48300+71478.63)</f>
        <v>342783.78</v>
      </c>
      <c r="G68" s="225"/>
      <c r="I68" s="287"/>
      <c r="J68" s="285"/>
    </row>
    <row r="69" spans="2:10" ht="15">
      <c r="C69" s="224"/>
      <c r="D69" s="220" t="s">
        <v>340</v>
      </c>
      <c r="E69" s="221"/>
      <c r="F69" s="225">
        <v>398953.8</v>
      </c>
      <c r="G69" s="225"/>
      <c r="I69" s="287"/>
      <c r="J69" s="285"/>
    </row>
    <row r="70" spans="2:10" ht="15">
      <c r="C70" s="224"/>
      <c r="D70" s="220" t="s">
        <v>341</v>
      </c>
      <c r="E70" s="221"/>
      <c r="F70" s="225">
        <f>6508.57+3074.95</f>
        <v>9583.52</v>
      </c>
      <c r="G70" s="225"/>
      <c r="I70" s="287"/>
      <c r="J70" s="285"/>
    </row>
    <row r="71" spans="2:10">
      <c r="C71" s="224"/>
      <c r="D71" s="221" t="s">
        <v>280</v>
      </c>
      <c r="E71" s="221"/>
      <c r="F71" s="225">
        <v>20212.5</v>
      </c>
      <c r="G71" s="223"/>
      <c r="I71" s="286"/>
      <c r="J71" s="285"/>
    </row>
    <row r="72" spans="2:10" ht="15" thickBot="1">
      <c r="C72" s="264"/>
      <c r="D72" s="265" t="s">
        <v>284</v>
      </c>
      <c r="E72" s="266"/>
      <c r="F72" s="267">
        <v>395.02</v>
      </c>
      <c r="G72" s="268"/>
      <c r="I72" s="286"/>
      <c r="J72" s="285"/>
    </row>
    <row r="73" spans="2:10" s="194" customFormat="1" ht="20.100000000000001" customHeight="1" thickBot="1">
      <c r="B73" s="195"/>
      <c r="C73" s="250"/>
      <c r="D73" s="250" t="s">
        <v>116</v>
      </c>
      <c r="E73" s="251"/>
      <c r="F73" s="252">
        <f>SUM(F61:F72)</f>
        <v>7528268.8899999987</v>
      </c>
      <c r="G73" s="253"/>
      <c r="H73" s="196"/>
      <c r="I73" s="286">
        <v>7528267.9500000002</v>
      </c>
      <c r="J73" s="285"/>
    </row>
    <row r="74" spans="2:10">
      <c r="I74" s="284">
        <f>F73-I73</f>
        <v>0.93999999854713678</v>
      </c>
    </row>
    <row r="75" spans="2:10">
      <c r="F75" s="16">
        <f>G46</f>
        <v>6930000</v>
      </c>
    </row>
    <row r="76" spans="2:10">
      <c r="F76" s="16">
        <f>F75-F73</f>
        <v>-598268.88999999873</v>
      </c>
    </row>
    <row r="79" spans="2:10" ht="17.100000000000001" customHeight="1">
      <c r="C79" s="308" t="s">
        <v>327</v>
      </c>
      <c r="D79" s="309" t="s">
        <v>30</v>
      </c>
      <c r="E79" s="310"/>
      <c r="F79" s="310"/>
      <c r="G79" s="310"/>
    </row>
    <row r="80" spans="2:10" ht="17.100000000000001" customHeight="1">
      <c r="C80" s="311"/>
      <c r="D80" s="312" t="s">
        <v>106</v>
      </c>
      <c r="E80" s="313"/>
      <c r="F80" s="313">
        <v>10274.200000000001</v>
      </c>
      <c r="G80" s="313"/>
    </row>
    <row r="81" spans="3:7" ht="5.25" customHeight="1"/>
    <row r="82" spans="3:7" ht="17.100000000000001" customHeight="1">
      <c r="C82" s="308" t="s">
        <v>328</v>
      </c>
      <c r="D82" s="309" t="s">
        <v>17</v>
      </c>
      <c r="E82" s="310"/>
      <c r="F82" s="310"/>
      <c r="G82" s="310"/>
    </row>
    <row r="83" spans="3:7" ht="17.100000000000001" customHeight="1">
      <c r="C83" s="311"/>
      <c r="D83" s="312" t="s">
        <v>106</v>
      </c>
      <c r="E83" s="313"/>
      <c r="F83" s="313">
        <v>14627.23</v>
      </c>
      <c r="G83" s="313"/>
    </row>
  </sheetData>
  <mergeCells count="3">
    <mergeCell ref="E1:G1"/>
    <mergeCell ref="E2:G2"/>
    <mergeCell ref="E3:F3"/>
  </mergeCells>
  <printOptions horizontalCentered="1"/>
  <pageMargins left="0.25" right="0.25" top="1.34" bottom="0.83" header="0.38" footer="0.2"/>
  <pageSetup paperSize="9" scale="62" orientation="portrait" r:id="rId1"/>
  <headerFooter>
    <oddHeader>&amp;C&amp;G</oddHeader>
    <oddFooter>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8" sqref="B8"/>
    </sheetView>
  </sheetViews>
  <sheetFormatPr defaultRowHeight="1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26625" r:id="rId4">
          <objectPr defaultSize="0" autoPict="0" r:id="rId5">
            <anchor moveWithCells="1">
              <from>
                <xdr:col>4</xdr:col>
                <xdr:colOff>438150</xdr:colOff>
                <xdr:row>9</xdr:row>
                <xdr:rowOff>19050</xdr:rowOff>
              </from>
              <to>
                <xdr:col>9</xdr:col>
                <xdr:colOff>609600</xdr:colOff>
                <xdr:row>23</xdr:row>
                <xdr:rowOff>66675</xdr:rowOff>
              </to>
            </anchor>
          </objectPr>
        </oleObject>
      </mc:Choice>
      <mc:Fallback>
        <oleObject progId="Acrobat Document" dvAspect="DVASPECT_ICON" shapeId="26625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O76"/>
  <sheetViews>
    <sheetView topLeftCell="B1" zoomScaleNormal="100" zoomScaleSheetLayoutView="100" workbookViewId="0">
      <pane xSplit="3" ySplit="10" topLeftCell="E46" activePane="bottomRight" state="frozen"/>
      <selection activeCell="B1" sqref="B1"/>
      <selection pane="topRight" activeCell="H1" sqref="H1"/>
      <selection pane="bottomLeft" activeCell="B19" sqref="B19"/>
      <selection pane="bottomRight" activeCell="I61" sqref="I61"/>
    </sheetView>
  </sheetViews>
  <sheetFormatPr defaultColWidth="9.140625" defaultRowHeight="14.25"/>
  <cols>
    <col min="1" max="1" width="9.140625" style="3"/>
    <col min="2" max="2" width="9.140625" style="181"/>
    <col min="3" max="3" width="14" style="2" customWidth="1"/>
    <col min="4" max="4" width="64.7109375" style="2" customWidth="1"/>
    <col min="5" max="6" width="16.28515625" style="16" customWidth="1"/>
    <col min="7" max="7" width="16.140625" style="16" bestFit="1" customWidth="1"/>
    <col min="8" max="8" width="5.7109375" style="64" bestFit="1" customWidth="1"/>
    <col min="9" max="9" width="19.42578125" style="269" bestFit="1" customWidth="1"/>
    <col min="10" max="10" width="14.5703125" style="169" bestFit="1" customWidth="1"/>
    <col min="11" max="11" width="11.5703125" style="3" customWidth="1"/>
    <col min="12" max="12" width="12.7109375" style="3" bestFit="1" customWidth="1"/>
    <col min="13" max="13" width="14.28515625" style="3" bestFit="1" customWidth="1"/>
    <col min="14" max="14" width="12.7109375" style="3" bestFit="1" customWidth="1"/>
    <col min="15" max="15" width="11.5703125" style="3" customWidth="1"/>
    <col min="16" max="16384" width="9.140625" style="3"/>
  </cols>
  <sheetData>
    <row r="1" spans="2:15" s="21" customFormat="1" ht="23.25" customHeight="1">
      <c r="B1" s="190"/>
      <c r="C1" s="191" t="s">
        <v>279</v>
      </c>
      <c r="D1" s="190"/>
      <c r="E1" s="719" t="s">
        <v>13</v>
      </c>
      <c r="F1" s="719"/>
      <c r="G1" s="719"/>
      <c r="H1" s="192"/>
      <c r="I1" s="192"/>
    </row>
    <row r="2" spans="2:15" ht="13.9" customHeight="1">
      <c r="C2" s="4" t="s">
        <v>11</v>
      </c>
      <c r="D2" s="1"/>
      <c r="E2" s="712"/>
      <c r="F2" s="712"/>
      <c r="G2" s="712"/>
    </row>
    <row r="3" spans="2:15">
      <c r="C3" s="3" t="s">
        <v>22</v>
      </c>
      <c r="D3" s="3"/>
      <c r="E3" s="720" t="s">
        <v>6</v>
      </c>
      <c r="F3" s="720"/>
      <c r="G3" s="5">
        <f ca="1">TODAY()</f>
        <v>45298</v>
      </c>
    </row>
    <row r="4" spans="2:15">
      <c r="C4" s="3" t="s">
        <v>23</v>
      </c>
      <c r="D4" s="3"/>
      <c r="E4" s="168" t="s">
        <v>5</v>
      </c>
      <c r="F4" s="3"/>
      <c r="G4" s="3"/>
    </row>
    <row r="5" spans="2:15" ht="15">
      <c r="C5" s="6"/>
      <c r="D5" s="181"/>
      <c r="E5" s="181"/>
      <c r="F5" s="181"/>
      <c r="G5" s="181"/>
      <c r="H5" s="181"/>
      <c r="I5" s="270"/>
    </row>
    <row r="6" spans="2:15" ht="15">
      <c r="C6" s="23" t="s">
        <v>0</v>
      </c>
      <c r="D6" s="6" t="s">
        <v>14</v>
      </c>
      <c r="E6" s="7"/>
      <c r="F6" s="7"/>
      <c r="G6" s="7"/>
    </row>
    <row r="7" spans="2:15" ht="15">
      <c r="C7" s="6" t="s">
        <v>1</v>
      </c>
      <c r="D7" s="4" t="s">
        <v>19</v>
      </c>
      <c r="E7" s="7" t="s">
        <v>3</v>
      </c>
      <c r="F7" s="7"/>
      <c r="G7" s="14">
        <f>G50</f>
        <v>546759.19999999972</v>
      </c>
    </row>
    <row r="8" spans="2:15" ht="15">
      <c r="C8" s="6" t="s">
        <v>2</v>
      </c>
      <c r="D8" s="4" t="s">
        <v>20</v>
      </c>
      <c r="E8" s="7" t="s">
        <v>236</v>
      </c>
      <c r="F8" s="3"/>
      <c r="G8" s="3"/>
    </row>
    <row r="9" spans="2:15" ht="6.75" customHeight="1" thickBot="1">
      <c r="C9" s="6"/>
      <c r="D9" s="4"/>
      <c r="E9" s="3"/>
      <c r="F9" s="3"/>
      <c r="G9" s="3"/>
    </row>
    <row r="10" spans="2:15" s="22" customFormat="1" ht="50.1" customHeight="1" thickBot="1">
      <c r="B10" s="181"/>
      <c r="C10" s="138" t="s">
        <v>7</v>
      </c>
      <c r="D10" s="227" t="s">
        <v>8</v>
      </c>
      <c r="E10" s="228" t="s">
        <v>4</v>
      </c>
      <c r="F10" s="228" t="s">
        <v>90</v>
      </c>
      <c r="G10" s="228" t="s">
        <v>31</v>
      </c>
      <c r="H10" s="64"/>
      <c r="I10" s="269"/>
      <c r="J10" s="169"/>
      <c r="K10" s="83"/>
      <c r="L10" s="82"/>
      <c r="M10" s="84"/>
      <c r="N10" s="82"/>
    </row>
    <row r="11" spans="2:15" s="143" customFormat="1" ht="17.100000000000001" customHeight="1">
      <c r="B11" s="182"/>
      <c r="C11" s="229"/>
      <c r="D11" s="140"/>
      <c r="E11" s="141"/>
      <c r="F11" s="141"/>
      <c r="G11" s="141"/>
      <c r="H11" s="142"/>
      <c r="I11" s="271"/>
      <c r="J11" s="170"/>
    </row>
    <row r="12" spans="2:15" ht="17.100000000000001" customHeight="1">
      <c r="C12" s="230" t="s">
        <v>325</v>
      </c>
      <c r="D12" s="25" t="s">
        <v>16</v>
      </c>
      <c r="E12" s="28"/>
      <c r="F12" s="28"/>
      <c r="G12" s="28"/>
    </row>
    <row r="13" spans="2:15" ht="17.100000000000001" customHeight="1">
      <c r="C13" s="231"/>
      <c r="D13" s="69" t="s">
        <v>15</v>
      </c>
      <c r="E13" s="29">
        <v>0</v>
      </c>
      <c r="F13" s="29">
        <v>1300000</v>
      </c>
      <c r="G13" s="29">
        <f>E13+F13</f>
        <v>1300000</v>
      </c>
      <c r="I13" s="272"/>
      <c r="J13" s="171"/>
    </row>
    <row r="14" spans="2:15" ht="17.100000000000001" customHeight="1">
      <c r="C14" s="231"/>
      <c r="D14" s="70" t="s">
        <v>103</v>
      </c>
      <c r="E14" s="63">
        <f>G13*5%</f>
        <v>65000</v>
      </c>
      <c r="F14" s="63"/>
      <c r="G14" s="29">
        <f>G13-E14+F14</f>
        <v>1235000</v>
      </c>
      <c r="I14" s="272"/>
    </row>
    <row r="15" spans="2:15" ht="17.100000000000001" customHeight="1">
      <c r="C15" s="232"/>
      <c r="D15" s="71" t="s">
        <v>25</v>
      </c>
      <c r="E15" s="29"/>
      <c r="F15" s="29">
        <f>G14*5%</f>
        <v>61750</v>
      </c>
      <c r="G15" s="29">
        <f t="shared" ref="G15" si="0">G14-E15+F15</f>
        <v>1296750</v>
      </c>
      <c r="K15" s="86"/>
    </row>
    <row r="16" spans="2:15" ht="17.100000000000001" customHeight="1" thickBot="1">
      <c r="B16" s="183"/>
      <c r="C16" s="233"/>
      <c r="D16" s="72" t="s">
        <v>24</v>
      </c>
      <c r="E16" s="30"/>
      <c r="F16" s="29">
        <f>797160.01+50000+250000+70233.3</f>
        <v>1167393.31</v>
      </c>
      <c r="G16" s="30">
        <f>G15+E16-F16</f>
        <v>129356.68999999994</v>
      </c>
      <c r="H16" s="64">
        <f>F16-'366'!S19</f>
        <v>0</v>
      </c>
      <c r="I16" s="269">
        <f>F16</f>
        <v>1167393.31</v>
      </c>
      <c r="J16" s="171">
        <f>F16/(G13+F15)</f>
        <v>0.85727432348081511</v>
      </c>
      <c r="K16" s="37"/>
      <c r="L16" s="35"/>
      <c r="M16" s="35"/>
      <c r="N16" s="35"/>
      <c r="O16" s="85"/>
    </row>
    <row r="17" spans="2:11" ht="17.100000000000001" customHeight="1" thickBot="1">
      <c r="C17" s="234"/>
      <c r="D17" s="73" t="s">
        <v>12</v>
      </c>
      <c r="E17" s="31">
        <f>SUM(E13:E15)</f>
        <v>65000</v>
      </c>
      <c r="F17" s="31">
        <f>F13+F15-F16</f>
        <v>194356.68999999994</v>
      </c>
      <c r="G17" s="31">
        <f>G16</f>
        <v>129356.68999999994</v>
      </c>
      <c r="H17" s="64">
        <f>F13-E14+F15-F16-G17</f>
        <v>0</v>
      </c>
      <c r="I17" s="269">
        <f>F16/105%</f>
        <v>1111803.1523809524</v>
      </c>
      <c r="J17" s="171">
        <f>I17/G13</f>
        <v>0.85523319413919419</v>
      </c>
    </row>
    <row r="18" spans="2:11" s="8" customFormat="1" ht="17.100000000000001" customHeight="1">
      <c r="B18" s="184"/>
      <c r="C18" s="235"/>
      <c r="D18" s="24"/>
      <c r="E18" s="27"/>
      <c r="F18" s="27"/>
      <c r="G18" s="27"/>
      <c r="H18" s="64">
        <f>-E17+F17-G17</f>
        <v>0</v>
      </c>
      <c r="I18" s="273"/>
      <c r="J18" s="172"/>
    </row>
    <row r="19" spans="2:11" ht="17.100000000000001" customHeight="1">
      <c r="C19" s="230" t="s">
        <v>326</v>
      </c>
      <c r="D19" s="25" t="s">
        <v>27</v>
      </c>
      <c r="E19" s="28"/>
      <c r="F19" s="28"/>
      <c r="G19" s="28"/>
      <c r="K19" s="86"/>
    </row>
    <row r="20" spans="2:11" ht="17.100000000000001" customHeight="1">
      <c r="C20" s="231"/>
      <c r="D20" s="69" t="s">
        <v>15</v>
      </c>
      <c r="E20" s="29">
        <v>0</v>
      </c>
      <c r="F20" s="29">
        <v>2300000</v>
      </c>
      <c r="G20" s="29">
        <f>E20+F20</f>
        <v>2300000</v>
      </c>
    </row>
    <row r="21" spans="2:11" ht="17.100000000000001" customHeight="1">
      <c r="C21" s="231"/>
      <c r="D21" s="186" t="s">
        <v>103</v>
      </c>
      <c r="E21" s="63">
        <f>G20*5%</f>
        <v>115000</v>
      </c>
      <c r="F21" s="63"/>
      <c r="G21" s="29">
        <f>G20-E21+F21</f>
        <v>2185000</v>
      </c>
      <c r="I21" s="272"/>
    </row>
    <row r="22" spans="2:11" ht="17.100000000000001" customHeight="1">
      <c r="C22" s="232"/>
      <c r="D22" s="74" t="s">
        <v>25</v>
      </c>
      <c r="E22" s="29"/>
      <c r="F22" s="29">
        <f>G21*5%</f>
        <v>109250</v>
      </c>
      <c r="G22" s="29">
        <f t="shared" ref="G22" si="1">G21-E22+F22</f>
        <v>2294250</v>
      </c>
    </row>
    <row r="23" spans="2:11" ht="17.100000000000001" customHeight="1" thickBot="1">
      <c r="B23" s="183"/>
      <c r="C23" s="233"/>
      <c r="D23" s="72" t="s">
        <v>24</v>
      </c>
      <c r="E23" s="30"/>
      <c r="F23" s="30">
        <f>217067.76+136753.68+85322.16+225289.68+146813.52+689850+552503.7</f>
        <v>2053600.5</v>
      </c>
      <c r="G23" s="30">
        <f>G22+E23-F23</f>
        <v>240649.5</v>
      </c>
      <c r="H23" s="64">
        <f>F23-'373'!$S$20</f>
        <v>0</v>
      </c>
      <c r="I23" s="269">
        <f>F23</f>
        <v>2053600.5</v>
      </c>
      <c r="J23" s="171">
        <f>F23/(G20+F22)</f>
        <v>0.85238165404171418</v>
      </c>
    </row>
    <row r="24" spans="2:11" ht="17.100000000000001" customHeight="1" thickBot="1">
      <c r="C24" s="234"/>
      <c r="D24" s="73" t="s">
        <v>12</v>
      </c>
      <c r="E24" s="31">
        <f>SUM(E20:E22)</f>
        <v>115000</v>
      </c>
      <c r="F24" s="31">
        <f>F20+F22-F23</f>
        <v>355649.5</v>
      </c>
      <c r="G24" s="31">
        <f>G23</f>
        <v>240649.5</v>
      </c>
      <c r="H24" s="64">
        <f>F20-E21+F22-F23-G24</f>
        <v>0</v>
      </c>
      <c r="I24" s="269">
        <f>F23/105%</f>
        <v>1955810</v>
      </c>
      <c r="J24" s="171">
        <f>I24/G20</f>
        <v>0.85035217391304352</v>
      </c>
    </row>
    <row r="25" spans="2:11" s="8" customFormat="1" ht="17.100000000000001" customHeight="1">
      <c r="B25" s="184"/>
      <c r="C25" s="235"/>
      <c r="D25" s="24"/>
      <c r="E25" s="27"/>
      <c r="F25" s="27"/>
      <c r="G25" s="27"/>
      <c r="H25" s="64">
        <f>-E24+F24-G24</f>
        <v>0</v>
      </c>
      <c r="I25" s="273"/>
      <c r="J25" s="172"/>
    </row>
    <row r="26" spans="2:11" ht="17.100000000000001" customHeight="1">
      <c r="C26" s="230" t="s">
        <v>327</v>
      </c>
      <c r="D26" s="26" t="s">
        <v>30</v>
      </c>
      <c r="E26" s="28"/>
      <c r="F26" s="28"/>
      <c r="G26" s="28"/>
    </row>
    <row r="27" spans="2:11" ht="17.100000000000001" customHeight="1">
      <c r="C27" s="231"/>
      <c r="D27" s="69" t="s">
        <v>15</v>
      </c>
      <c r="E27" s="29">
        <v>0</v>
      </c>
      <c r="F27" s="29">
        <v>1500000</v>
      </c>
      <c r="G27" s="29">
        <f>E27+F27</f>
        <v>1500000</v>
      </c>
    </row>
    <row r="28" spans="2:11" ht="17.100000000000001" customHeight="1">
      <c r="C28" s="231"/>
      <c r="D28" s="187" t="s">
        <v>278</v>
      </c>
      <c r="E28" s="63">
        <f>G27*0%</f>
        <v>0</v>
      </c>
      <c r="F28" s="63"/>
      <c r="G28" s="29">
        <f>G27-E28+F28</f>
        <v>1500000</v>
      </c>
      <c r="I28" s="272"/>
    </row>
    <row r="29" spans="2:11" ht="17.100000000000001" customHeight="1">
      <c r="C29" s="232"/>
      <c r="D29" s="74" t="s">
        <v>25</v>
      </c>
      <c r="E29" s="29"/>
      <c r="F29" s="29">
        <f>G28*5%</f>
        <v>75000</v>
      </c>
      <c r="G29" s="29">
        <f t="shared" ref="G29" si="2">G28-E29+F29</f>
        <v>1575000</v>
      </c>
    </row>
    <row r="30" spans="2:11" ht="17.100000000000001" customHeight="1">
      <c r="C30" s="236"/>
      <c r="D30" s="72" t="s">
        <v>106</v>
      </c>
      <c r="E30" s="30"/>
      <c r="F30" s="30">
        <v>10274.200000000001</v>
      </c>
      <c r="G30" s="29">
        <f>G29+E30-F30</f>
        <v>1564725.8</v>
      </c>
    </row>
    <row r="31" spans="2:11" ht="17.100000000000001" customHeight="1" thickBot="1">
      <c r="B31" s="183"/>
      <c r="C31" s="233"/>
      <c r="D31" s="72" t="s">
        <v>24</v>
      </c>
      <c r="E31" s="30"/>
      <c r="F31" s="30">
        <f>100000+100000+121528.9+254806.86+380127.67+450248.65+1078.78</f>
        <v>1407790.86</v>
      </c>
      <c r="G31" s="30">
        <f>G30+E31-F31</f>
        <v>156934.93999999994</v>
      </c>
      <c r="H31" s="64">
        <f>F31-'374'!$S$15</f>
        <v>0</v>
      </c>
      <c r="I31" s="269">
        <f>F31+F30</f>
        <v>1418065.06</v>
      </c>
      <c r="J31" s="171">
        <f>(F31+F30)/(G27+F29)</f>
        <v>0.90035876825396832</v>
      </c>
    </row>
    <row r="32" spans="2:11" ht="17.100000000000001" customHeight="1" thickBot="1">
      <c r="C32" s="234"/>
      <c r="D32" s="73" t="s">
        <v>12</v>
      </c>
      <c r="E32" s="31">
        <f>SUM(E27:E29)</f>
        <v>0</v>
      </c>
      <c r="F32" s="31">
        <f>F27+F29-F31-F30</f>
        <v>156934.93999999989</v>
      </c>
      <c r="G32" s="31">
        <f>G31</f>
        <v>156934.93999999994</v>
      </c>
      <c r="H32" s="64">
        <f>F27-E28+F29-F31-G32-F30</f>
        <v>-4.7293724492192268E-11</v>
      </c>
      <c r="I32" s="269">
        <f>(F31+F30)/105%</f>
        <v>1350538.1523809524</v>
      </c>
      <c r="J32" s="171">
        <f>I32/G27</f>
        <v>0.90035876825396821</v>
      </c>
    </row>
    <row r="33" spans="2:10" s="8" customFormat="1" ht="17.100000000000001" customHeight="1">
      <c r="B33" s="184"/>
      <c r="C33" s="235"/>
      <c r="D33" s="24"/>
      <c r="E33" s="27"/>
      <c r="F33" s="27"/>
      <c r="G33" s="27"/>
      <c r="H33" s="64">
        <f>-E32+F32-G32</f>
        <v>0</v>
      </c>
      <c r="I33" s="274"/>
    </row>
    <row r="34" spans="2:10" ht="17.100000000000001" customHeight="1">
      <c r="C34" s="230" t="s">
        <v>328</v>
      </c>
      <c r="D34" s="26" t="s">
        <v>17</v>
      </c>
      <c r="E34" s="28"/>
      <c r="F34" s="28"/>
      <c r="G34" s="28"/>
    </row>
    <row r="35" spans="2:10" ht="17.100000000000001" customHeight="1">
      <c r="C35" s="231"/>
      <c r="D35" s="69" t="s">
        <v>15</v>
      </c>
      <c r="E35" s="29">
        <v>0</v>
      </c>
      <c r="F35" s="29">
        <v>1500000</v>
      </c>
      <c r="G35" s="29">
        <f>E35+F35</f>
        <v>1500000</v>
      </c>
    </row>
    <row r="36" spans="2:10" ht="17.100000000000001" customHeight="1">
      <c r="C36" s="231"/>
      <c r="D36" s="187" t="s">
        <v>278</v>
      </c>
      <c r="E36" s="63">
        <f>G35*0%</f>
        <v>0</v>
      </c>
      <c r="F36" s="63"/>
      <c r="G36" s="29">
        <f>G35-E36+F36</f>
        <v>1500000</v>
      </c>
      <c r="I36" s="272"/>
    </row>
    <row r="37" spans="2:10" ht="17.100000000000001" customHeight="1">
      <c r="C37" s="232"/>
      <c r="D37" s="75" t="s">
        <v>25</v>
      </c>
      <c r="E37" s="62"/>
      <c r="F37" s="62">
        <f>G36*5%</f>
        <v>75000</v>
      </c>
      <c r="G37" s="29">
        <f>G36-E37+F37</f>
        <v>1575000</v>
      </c>
    </row>
    <row r="38" spans="2:10" ht="17.100000000000001" customHeight="1">
      <c r="C38" s="236"/>
      <c r="D38" s="72" t="s">
        <v>33</v>
      </c>
      <c r="E38" s="30"/>
      <c r="F38" s="30">
        <v>243644.1</v>
      </c>
      <c r="G38" s="29">
        <f>G37+E38-F38</f>
        <v>1331355.8999999999</v>
      </c>
    </row>
    <row r="39" spans="2:10" ht="17.100000000000001" customHeight="1">
      <c r="C39" s="236"/>
      <c r="D39" s="72" t="s">
        <v>32</v>
      </c>
      <c r="E39" s="30"/>
      <c r="F39" s="30">
        <v>224070</v>
      </c>
      <c r="G39" s="29">
        <f t="shared" ref="G39" si="3">G38+E39-F39</f>
        <v>1107285.8999999999</v>
      </c>
    </row>
    <row r="40" spans="2:10" ht="17.100000000000001" customHeight="1">
      <c r="C40" s="236"/>
      <c r="D40" s="72" t="s">
        <v>106</v>
      </c>
      <c r="E40" s="30"/>
      <c r="F40" s="30">
        <v>14627.23</v>
      </c>
      <c r="G40" s="30">
        <f>G39+E40-F40</f>
        <v>1092658.67</v>
      </c>
    </row>
    <row r="41" spans="2:10" ht="17.100000000000001" customHeight="1" thickBot="1">
      <c r="B41" s="183"/>
      <c r="C41" s="233"/>
      <c r="D41" s="72" t="s">
        <v>24</v>
      </c>
      <c r="E41" s="30"/>
      <c r="F41" s="30">
        <f>176470.56+243571.44+295742.79+129546.51+227509.3</f>
        <v>1072840.6000000001</v>
      </c>
      <c r="G41" s="30">
        <f>G40+E41-F41</f>
        <v>19818.069999999832</v>
      </c>
      <c r="H41" s="64">
        <f>F41-'375'!$S$13</f>
        <v>0</v>
      </c>
      <c r="I41" s="269">
        <f>SUM(F38:F41)</f>
        <v>1555181.9300000002</v>
      </c>
      <c r="J41" s="171">
        <f>SUM(F38:F41)/(G35+F37)</f>
        <v>0.98741709841269854</v>
      </c>
    </row>
    <row r="42" spans="2:10" ht="17.100000000000001" customHeight="1" thickBot="1">
      <c r="B42" s="183"/>
      <c r="C42" s="234"/>
      <c r="D42" s="73" t="s">
        <v>12</v>
      </c>
      <c r="E42" s="31">
        <f>SUM(E35:E37)</f>
        <v>0</v>
      </c>
      <c r="F42" s="31">
        <f>F35+F37-F38-F39-F41-F40</f>
        <v>19818.069999999814</v>
      </c>
      <c r="G42" s="31">
        <f>G41</f>
        <v>19818.069999999832</v>
      </c>
      <c r="H42" s="64">
        <f>G35-E36+F37-(F38+F39+F41)-G42-F40</f>
        <v>-1.8189894035458565E-11</v>
      </c>
      <c r="I42" s="269">
        <f>(F41+F40+F39+F38)/105%</f>
        <v>1481125.6476190477</v>
      </c>
      <c r="J42" s="171">
        <f>I42/G35</f>
        <v>0.98741709841269842</v>
      </c>
    </row>
    <row r="43" spans="2:10" ht="17.100000000000001" customHeight="1" thickBot="1">
      <c r="C43" s="237"/>
      <c r="D43" s="76"/>
      <c r="E43" s="68"/>
      <c r="F43" s="68"/>
      <c r="G43" s="68"/>
      <c r="H43" s="64">
        <f>-E42+F42-G42</f>
        <v>0</v>
      </c>
    </row>
    <row r="44" spans="2:10" ht="17.100000000000001" customHeight="1" thickBot="1">
      <c r="C44" s="234"/>
      <c r="D44" s="73" t="s">
        <v>18</v>
      </c>
      <c r="E44" s="31">
        <f>SUM(E17,E24,E32,E42)</f>
        <v>180000</v>
      </c>
      <c r="F44" s="31"/>
      <c r="G44" s="31">
        <f>G17+G24+G32+G42</f>
        <v>546759.19999999972</v>
      </c>
    </row>
    <row r="45" spans="2:10" ht="5.0999999999999996" customHeight="1" thickBot="1">
      <c r="C45" s="238"/>
      <c r="D45" s="21"/>
      <c r="E45" s="32"/>
      <c r="F45" s="32"/>
      <c r="G45" s="32"/>
      <c r="H45" s="65"/>
      <c r="I45" s="275"/>
    </row>
    <row r="46" spans="2:10" ht="17.100000000000001" customHeight="1">
      <c r="C46" s="239"/>
      <c r="D46" s="77" t="s">
        <v>26</v>
      </c>
      <c r="E46" s="33">
        <f>SUM(E13,E20,E35,E27)</f>
        <v>0</v>
      </c>
      <c r="F46" s="33">
        <f>SUM(F13,F20,F35,F27)</f>
        <v>6600000</v>
      </c>
      <c r="G46" s="33">
        <f>E46+F46</f>
        <v>6600000</v>
      </c>
      <c r="I46" s="276">
        <f>SUM(G13,G20,G27,G35)</f>
        <v>6600000</v>
      </c>
    </row>
    <row r="47" spans="2:10" ht="17.100000000000001" customHeight="1">
      <c r="C47" s="232"/>
      <c r="D47" s="74" t="s">
        <v>104</v>
      </c>
      <c r="E47" s="29">
        <f>SUM(E36,E28,E21,E14)</f>
        <v>180000</v>
      </c>
      <c r="F47" s="29">
        <v>0</v>
      </c>
      <c r="G47" s="29">
        <f>G46-E47+F47</f>
        <v>6420000</v>
      </c>
      <c r="I47" s="269">
        <f>SUM(E14,E21,E28,E36)</f>
        <v>180000</v>
      </c>
    </row>
    <row r="48" spans="2:10" ht="17.100000000000001" customHeight="1">
      <c r="C48" s="232"/>
      <c r="D48" s="74" t="s">
        <v>105</v>
      </c>
      <c r="E48" s="29">
        <f>E46*5%</f>
        <v>0</v>
      </c>
      <c r="F48" s="29">
        <f>SUM(F37,F29,F22,F15)</f>
        <v>321000</v>
      </c>
      <c r="G48" s="29">
        <f>G47-E48+F48</f>
        <v>6741000</v>
      </c>
      <c r="H48" s="64">
        <f>((G14+G21)*5%)+((G28+G36)*5%)-F48</f>
        <v>0</v>
      </c>
      <c r="I48" s="269">
        <f>SUM(F15,F22,F29,F37)</f>
        <v>321000</v>
      </c>
    </row>
    <row r="49" spans="2:10" ht="17.100000000000001" customHeight="1" thickBot="1">
      <c r="C49" s="236"/>
      <c r="D49" s="78" t="s">
        <v>107</v>
      </c>
      <c r="E49" s="30">
        <v>0</v>
      </c>
      <c r="F49" s="30">
        <f>SUM(F16,F23,F30:F31,F38:F41)</f>
        <v>6194240.8000000007</v>
      </c>
      <c r="G49" s="30">
        <f>G48+E49-F49</f>
        <v>546759.19999999925</v>
      </c>
      <c r="I49" s="276">
        <f>SUM(F16,F23,F31,F30,F38:F41)</f>
        <v>6194240.8000000007</v>
      </c>
    </row>
    <row r="50" spans="2:10" s="9" customFormat="1" ht="21.75" customHeight="1" thickBot="1">
      <c r="B50" s="185"/>
      <c r="C50" s="240"/>
      <c r="D50" s="79" t="s">
        <v>34</v>
      </c>
      <c r="E50" s="34"/>
      <c r="F50" s="34"/>
      <c r="G50" s="34">
        <f>G44</f>
        <v>546759.19999999972</v>
      </c>
      <c r="H50" s="66">
        <f>G46-E47+F48-F49-G50</f>
        <v>0</v>
      </c>
      <c r="I50" s="277">
        <f>I46-I47+I48-I49-G50</f>
        <v>0</v>
      </c>
      <c r="J50" s="173"/>
    </row>
    <row r="51" spans="2:10" ht="19.5" customHeight="1">
      <c r="C51" s="10"/>
      <c r="D51" s="11"/>
      <c r="E51" s="12"/>
      <c r="F51" s="12"/>
      <c r="G51" s="12"/>
      <c r="I51" s="269">
        <f>G50</f>
        <v>546759.19999999972</v>
      </c>
    </row>
    <row r="52" spans="2:10" ht="15">
      <c r="C52" s="4" t="s">
        <v>9</v>
      </c>
      <c r="G52" s="14"/>
      <c r="I52" s="278">
        <f>-SUM(F67,I68,F69:F74)</f>
        <v>-1358929.52</v>
      </c>
      <c r="J52" s="174"/>
    </row>
    <row r="53" spans="2:10" ht="15">
      <c r="C53" s="4" t="s">
        <v>10</v>
      </c>
      <c r="G53" s="14"/>
      <c r="I53" s="279"/>
      <c r="J53" s="175"/>
    </row>
    <row r="54" spans="2:10" ht="15">
      <c r="C54" s="4" t="s">
        <v>28</v>
      </c>
      <c r="E54" s="14"/>
      <c r="F54" s="14"/>
      <c r="G54" s="14"/>
      <c r="J54" s="176"/>
    </row>
    <row r="55" spans="2:10" ht="15">
      <c r="C55" s="4" t="s">
        <v>29</v>
      </c>
      <c r="E55" s="14"/>
      <c r="F55" s="14"/>
      <c r="G55" s="14"/>
      <c r="J55" s="176"/>
    </row>
    <row r="56" spans="2:10" ht="18">
      <c r="C56" s="15" t="s">
        <v>21</v>
      </c>
      <c r="J56" s="176"/>
    </row>
    <row r="57" spans="2:10" ht="15" thickBot="1">
      <c r="C57" s="17"/>
      <c r="D57" s="4"/>
      <c r="E57" s="18"/>
      <c r="F57" s="67"/>
      <c r="G57" s="18"/>
      <c r="I57" s="276"/>
      <c r="J57" s="178"/>
    </row>
    <row r="58" spans="2:10">
      <c r="C58" s="254"/>
      <c r="D58" s="255" t="s">
        <v>330</v>
      </c>
      <c r="E58" s="255"/>
      <c r="F58" s="256">
        <f>'Payment Details.'!Z71</f>
        <v>700000</v>
      </c>
      <c r="G58" s="257"/>
      <c r="J58" s="179"/>
    </row>
    <row r="59" spans="2:10">
      <c r="C59" s="220"/>
      <c r="D59" s="221" t="s">
        <v>331</v>
      </c>
      <c r="E59" s="221"/>
      <c r="F59" s="222">
        <f>'Payment Details.'!Z72</f>
        <v>200000</v>
      </c>
      <c r="G59" s="223"/>
      <c r="J59" s="180"/>
    </row>
    <row r="60" spans="2:10">
      <c r="C60" s="220"/>
      <c r="D60" s="221" t="s">
        <v>332</v>
      </c>
      <c r="E60" s="221"/>
      <c r="F60" s="222">
        <f>'Payment Details.'!Z73</f>
        <v>3260450.1899999995</v>
      </c>
      <c r="G60" s="223"/>
    </row>
    <row r="61" spans="2:10" ht="15">
      <c r="C61" s="220"/>
      <c r="D61" s="221" t="s">
        <v>333</v>
      </c>
      <c r="E61" s="221"/>
      <c r="F61" s="222">
        <f>'Payment Details.'!Z74</f>
        <v>851325.08000000007</v>
      </c>
      <c r="G61" s="223"/>
    </row>
    <row r="62" spans="2:10" ht="15.75" thickBot="1">
      <c r="C62" s="241"/>
      <c r="D62" s="242" t="s">
        <v>334</v>
      </c>
      <c r="E62" s="242"/>
      <c r="F62" s="243">
        <f>'Payment Details.'!Z75</f>
        <v>689850</v>
      </c>
      <c r="G62" s="244"/>
    </row>
    <row r="63" spans="2:10" s="19" customFormat="1" ht="20.100000000000001" customHeight="1" thickBot="1">
      <c r="B63" s="188"/>
      <c r="C63" s="245"/>
      <c r="D63" s="246" t="str">
        <f>'Payment Details.'!N76</f>
        <v>Total</v>
      </c>
      <c r="E63" s="247"/>
      <c r="F63" s="248">
        <f>SUM(F58:F62)</f>
        <v>5701625.2699999996</v>
      </c>
      <c r="G63" s="249">
        <f>F63-'Payment Details.'!$Z$68</f>
        <v>0</v>
      </c>
      <c r="H63" s="189"/>
      <c r="I63" s="276"/>
      <c r="J63" s="177"/>
    </row>
    <row r="64" spans="2:10" s="19" customFormat="1" ht="9.75" customHeight="1" thickBot="1">
      <c r="B64" s="188"/>
      <c r="C64" s="258"/>
      <c r="D64" s="259"/>
      <c r="F64" s="198"/>
      <c r="G64" s="260"/>
      <c r="H64" s="189"/>
      <c r="I64" s="276"/>
      <c r="J64" s="177"/>
    </row>
    <row r="65" spans="2:10" ht="20.100000000000001" customHeight="1">
      <c r="B65" s="38"/>
      <c r="C65" s="261"/>
      <c r="D65" s="262" t="s">
        <v>285</v>
      </c>
      <c r="E65" s="255"/>
      <c r="F65" s="257"/>
      <c r="G65" s="263"/>
      <c r="H65" s="37"/>
      <c r="I65" s="280"/>
      <c r="J65" s="193"/>
    </row>
    <row r="66" spans="2:10" ht="15">
      <c r="C66" s="224"/>
      <c r="D66" s="220" t="s">
        <v>335</v>
      </c>
      <c r="E66" s="221"/>
      <c r="F66" s="225">
        <v>243644.1</v>
      </c>
      <c r="G66" s="223"/>
      <c r="I66" s="276"/>
      <c r="J66" s="178"/>
    </row>
    <row r="67" spans="2:10" ht="15">
      <c r="C67" s="224"/>
      <c r="D67" s="220" t="s">
        <v>337</v>
      </c>
      <c r="E67" s="221"/>
      <c r="F67" s="225">
        <v>37800</v>
      </c>
      <c r="G67" s="225"/>
      <c r="I67" s="281"/>
      <c r="J67" s="178"/>
    </row>
    <row r="68" spans="2:10" ht="15">
      <c r="C68" s="224" t="s">
        <v>329</v>
      </c>
      <c r="D68" s="220" t="s">
        <v>336</v>
      </c>
      <c r="E68" s="221"/>
      <c r="F68" s="226">
        <v>246246</v>
      </c>
      <c r="G68" s="226">
        <v>224070</v>
      </c>
      <c r="I68" s="282">
        <f>F68-G68</f>
        <v>22176</v>
      </c>
      <c r="J68" s="178"/>
    </row>
    <row r="69" spans="2:10" ht="15">
      <c r="C69" s="224"/>
      <c r="D69" s="220" t="s">
        <v>338</v>
      </c>
      <c r="E69" s="221"/>
      <c r="F69" s="225">
        <f>290000+237024.9</f>
        <v>527024.9</v>
      </c>
      <c r="G69" s="225"/>
      <c r="I69" s="281"/>
      <c r="J69" s="178"/>
    </row>
    <row r="70" spans="2:10" ht="15">
      <c r="C70" s="224"/>
      <c r="D70" s="220" t="s">
        <v>339</v>
      </c>
      <c r="E70" s="221"/>
      <c r="F70" s="225">
        <f>180698.55+42306.6+(48300+71478.63)</f>
        <v>342783.78</v>
      </c>
      <c r="G70" s="225"/>
      <c r="I70" s="281"/>
      <c r="J70" s="178"/>
    </row>
    <row r="71" spans="2:10" ht="15">
      <c r="C71" s="224"/>
      <c r="D71" s="220" t="s">
        <v>340</v>
      </c>
      <c r="E71" s="221"/>
      <c r="F71" s="225">
        <v>398953.8</v>
      </c>
      <c r="G71" s="225"/>
      <c r="I71" s="281"/>
      <c r="J71" s="178"/>
    </row>
    <row r="72" spans="2:10" ht="15">
      <c r="C72" s="224"/>
      <c r="D72" s="220" t="s">
        <v>341</v>
      </c>
      <c r="E72" s="221"/>
      <c r="F72" s="225">
        <f>6508.57+3074.95</f>
        <v>9583.52</v>
      </c>
      <c r="G72" s="225"/>
      <c r="I72" s="281"/>
      <c r="J72" s="178"/>
    </row>
    <row r="73" spans="2:10">
      <c r="C73" s="224"/>
      <c r="D73" s="221" t="s">
        <v>280</v>
      </c>
      <c r="E73" s="221"/>
      <c r="F73" s="225">
        <v>20212.5</v>
      </c>
      <c r="G73" s="223"/>
      <c r="I73" s="276"/>
      <c r="J73" s="178"/>
    </row>
    <row r="74" spans="2:10" ht="15" thickBot="1">
      <c r="C74" s="264"/>
      <c r="D74" s="265" t="s">
        <v>284</v>
      </c>
      <c r="E74" s="266"/>
      <c r="F74" s="267">
        <v>395.02</v>
      </c>
      <c r="G74" s="268"/>
      <c r="I74" s="276"/>
      <c r="J74" s="178"/>
    </row>
    <row r="75" spans="2:10" s="194" customFormat="1" ht="20.100000000000001" customHeight="1" thickBot="1">
      <c r="B75" s="195"/>
      <c r="C75" s="250"/>
      <c r="D75" s="250" t="s">
        <v>116</v>
      </c>
      <c r="E75" s="251"/>
      <c r="F75" s="252">
        <f>SUM(F63:F74)</f>
        <v>7528268.8899999987</v>
      </c>
      <c r="G75" s="253"/>
      <c r="H75" s="196"/>
      <c r="I75" s="196">
        <v>7528267.9500000002</v>
      </c>
      <c r="J75" s="197"/>
    </row>
    <row r="76" spans="2:10">
      <c r="I76" s="269">
        <f>F75-I75</f>
        <v>0.93999999854713678</v>
      </c>
    </row>
  </sheetData>
  <mergeCells count="3">
    <mergeCell ref="E1:G1"/>
    <mergeCell ref="E2:G2"/>
    <mergeCell ref="E3:F3"/>
  </mergeCells>
  <printOptions horizontalCentered="1"/>
  <pageMargins left="0.25" right="0.25" top="1.34" bottom="0.83" header="0.38" footer="0.2"/>
  <pageSetup paperSize="9" scale="62" orientation="portrait" r:id="rId1"/>
  <headerFooter>
    <oddHeader>&amp;C&amp;G</oddHeader>
    <oddFooter>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008080"/>
  </sheetPr>
  <dimension ref="A2:AB76"/>
  <sheetViews>
    <sheetView workbookViewId="0">
      <pane xSplit="3" ySplit="3" topLeftCell="D54" activePane="bottomRight" state="frozenSplit"/>
      <selection pane="topRight" activeCell="D1" sqref="D1"/>
      <selection pane="bottomLeft" activeCell="A2" sqref="A2"/>
      <selection pane="bottomRight" activeCell="AD81" sqref="AD81"/>
    </sheetView>
  </sheetViews>
  <sheetFormatPr defaultRowHeight="15"/>
  <cols>
    <col min="1" max="1" width="3" customWidth="1"/>
    <col min="2" max="2" width="1.28515625" style="87" customWidth="1"/>
    <col min="3" max="3" width="1.85546875" style="87" customWidth="1"/>
    <col min="4" max="5" width="2.28515625" style="87" customWidth="1"/>
    <col min="6" max="6" width="14" bestFit="1" customWidth="1"/>
    <col min="7" max="7" width="2.28515625" customWidth="1"/>
    <col min="8" max="8" width="10.140625" bestFit="1" customWidth="1"/>
    <col min="9" max="9" width="2.28515625" customWidth="1"/>
    <col min="10" max="10" width="6" bestFit="1" customWidth="1"/>
    <col min="11" max="11" width="2.28515625" customWidth="1"/>
    <col min="12" max="12" width="8.42578125" style="101" customWidth="1"/>
    <col min="13" max="13" width="2.28515625" customWidth="1"/>
    <col min="14" max="14" width="54" customWidth="1"/>
    <col min="15" max="15" width="2.28515625" customWidth="1"/>
    <col min="16" max="16" width="25.5703125" hidden="1" customWidth="1"/>
    <col min="17" max="17" width="2.28515625" hidden="1" customWidth="1"/>
    <col min="18" max="18" width="16.7109375" hidden="1" customWidth="1"/>
    <col min="19" max="19" width="2.28515625" hidden="1" customWidth="1"/>
    <col min="20" max="20" width="3.5703125" hidden="1" customWidth="1"/>
    <col min="21" max="21" width="2.28515625" hidden="1" customWidth="1"/>
    <col min="22" max="22" width="30.7109375" hidden="1" customWidth="1"/>
    <col min="23" max="23" width="2.28515625" hidden="1" customWidth="1"/>
    <col min="24" max="24" width="11.7109375" bestFit="1" customWidth="1"/>
    <col min="25" max="25" width="2.28515625" customWidth="1"/>
    <col min="26" max="26" width="14.5703125" style="144" bestFit="1" customWidth="1"/>
    <col min="27" max="27" width="2.28515625" customWidth="1"/>
    <col min="28" max="28" width="12.28515625" bestFit="1" customWidth="1"/>
  </cols>
  <sheetData>
    <row r="2" spans="1:28">
      <c r="A2" s="90"/>
      <c r="B2" s="92" t="s">
        <v>14</v>
      </c>
      <c r="C2" s="92"/>
      <c r="D2" s="92"/>
      <c r="E2" s="92"/>
      <c r="F2" s="90"/>
      <c r="G2" s="90"/>
      <c r="H2" s="91"/>
      <c r="I2" s="90"/>
      <c r="J2" s="90"/>
      <c r="K2" s="90"/>
      <c r="L2" s="156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8"/>
      <c r="Y2" s="90"/>
      <c r="Z2" s="98"/>
      <c r="AA2" s="90"/>
      <c r="AB2" s="98"/>
    </row>
    <row r="3" spans="1:28" s="101" customFormat="1" ht="15.75" thickBot="1">
      <c r="A3" s="103"/>
      <c r="B3" s="104"/>
      <c r="C3" s="104"/>
      <c r="D3" s="104"/>
      <c r="E3" s="104"/>
      <c r="F3" s="102" t="s">
        <v>97</v>
      </c>
      <c r="G3" s="103"/>
      <c r="H3" s="102" t="s">
        <v>96</v>
      </c>
      <c r="I3" s="103"/>
      <c r="J3" s="102" t="s">
        <v>95</v>
      </c>
      <c r="K3" s="103"/>
      <c r="L3" s="102" t="s">
        <v>93</v>
      </c>
      <c r="M3" s="103"/>
      <c r="N3" s="102" t="s">
        <v>92</v>
      </c>
      <c r="O3" s="103"/>
      <c r="P3" s="102" t="s">
        <v>277</v>
      </c>
      <c r="Q3" s="103"/>
      <c r="R3" s="102" t="s">
        <v>276</v>
      </c>
      <c r="S3" s="103"/>
      <c r="T3" s="102" t="s">
        <v>275</v>
      </c>
      <c r="U3" s="103"/>
      <c r="V3" s="102" t="s">
        <v>274</v>
      </c>
      <c r="W3" s="103"/>
      <c r="X3" s="102" t="s">
        <v>91</v>
      </c>
      <c r="Y3" s="103"/>
      <c r="Z3" s="102" t="s">
        <v>90</v>
      </c>
      <c r="AA3" s="103"/>
      <c r="AB3" s="102" t="s">
        <v>31</v>
      </c>
    </row>
    <row r="4" spans="1:28" ht="15.75" thickTop="1">
      <c r="A4" s="90"/>
      <c r="B4" s="92"/>
      <c r="C4" s="92" t="s">
        <v>273</v>
      </c>
      <c r="D4" s="92"/>
      <c r="E4" s="92"/>
      <c r="F4" s="90"/>
      <c r="G4" s="90"/>
      <c r="H4" s="91"/>
      <c r="I4" s="90"/>
      <c r="J4" s="90"/>
      <c r="K4" s="90"/>
      <c r="L4" s="156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8"/>
      <c r="Y4" s="90"/>
      <c r="Z4" s="98"/>
      <c r="AA4" s="90"/>
      <c r="AB4" s="98"/>
    </row>
    <row r="5" spans="1:28">
      <c r="A5" s="94"/>
      <c r="B5" s="96"/>
      <c r="C5" s="96"/>
      <c r="D5" s="96"/>
      <c r="E5" s="96"/>
      <c r="F5" s="163" t="s">
        <v>80</v>
      </c>
      <c r="G5" s="163"/>
      <c r="H5" s="166">
        <v>44595</v>
      </c>
      <c r="I5" s="163"/>
      <c r="J5" s="163" t="s">
        <v>88</v>
      </c>
      <c r="K5" s="163"/>
      <c r="L5" s="165" t="s">
        <v>266</v>
      </c>
      <c r="M5" s="163"/>
      <c r="N5" s="163" t="s">
        <v>87</v>
      </c>
      <c r="O5" s="163"/>
      <c r="P5" s="163" t="s">
        <v>166</v>
      </c>
      <c r="Q5" s="163"/>
      <c r="R5" s="163"/>
      <c r="S5" s="163"/>
      <c r="T5" s="164"/>
      <c r="U5" s="163"/>
      <c r="V5" s="163" t="s">
        <v>272</v>
      </c>
      <c r="W5" s="163"/>
      <c r="X5" s="162"/>
      <c r="Y5" s="163"/>
      <c r="Z5" s="162">
        <v>250000</v>
      </c>
      <c r="AA5" s="94"/>
      <c r="AB5" s="97">
        <v>-250000</v>
      </c>
    </row>
    <row r="6" spans="1:28">
      <c r="A6" s="94"/>
      <c r="B6" s="96"/>
      <c r="C6" s="96"/>
      <c r="D6" s="96"/>
      <c r="E6" s="96"/>
      <c r="F6" s="163" t="s">
        <v>80</v>
      </c>
      <c r="G6" s="163"/>
      <c r="H6" s="166">
        <v>44625</v>
      </c>
      <c r="I6" s="163"/>
      <c r="J6" s="163" t="s">
        <v>86</v>
      </c>
      <c r="K6" s="163"/>
      <c r="L6" s="165" t="s">
        <v>266</v>
      </c>
      <c r="M6" s="163"/>
      <c r="N6" s="163" t="s">
        <v>85</v>
      </c>
      <c r="O6" s="163"/>
      <c r="P6" s="163" t="s">
        <v>166</v>
      </c>
      <c r="Q6" s="163"/>
      <c r="R6" s="163"/>
      <c r="S6" s="163"/>
      <c r="T6" s="164"/>
      <c r="U6" s="163"/>
      <c r="V6" s="163" t="s">
        <v>243</v>
      </c>
      <c r="W6" s="163"/>
      <c r="X6" s="162"/>
      <c r="Y6" s="163"/>
      <c r="Z6" s="162">
        <v>100000</v>
      </c>
      <c r="AA6" s="94"/>
      <c r="AB6" s="97">
        <v>-350000</v>
      </c>
    </row>
    <row r="7" spans="1:28">
      <c r="A7" s="94"/>
      <c r="B7" s="96"/>
      <c r="C7" s="96"/>
      <c r="D7" s="96"/>
      <c r="E7" s="96"/>
      <c r="F7" s="94" t="s">
        <v>46</v>
      </c>
      <c r="G7" s="94"/>
      <c r="H7" s="95">
        <v>44653</v>
      </c>
      <c r="I7" s="94"/>
      <c r="J7" s="94" t="s">
        <v>134</v>
      </c>
      <c r="K7" s="94"/>
      <c r="L7" s="152" t="s">
        <v>266</v>
      </c>
      <c r="M7" s="94"/>
      <c r="N7" s="94" t="s">
        <v>84</v>
      </c>
      <c r="O7" s="94"/>
      <c r="P7" s="94" t="s">
        <v>166</v>
      </c>
      <c r="Q7" s="94"/>
      <c r="R7" s="94" t="s">
        <v>242</v>
      </c>
      <c r="S7" s="94"/>
      <c r="T7" s="155"/>
      <c r="U7" s="94"/>
      <c r="V7" s="94" t="s">
        <v>241</v>
      </c>
      <c r="W7" s="94"/>
      <c r="X7" s="97">
        <v>212887.52</v>
      </c>
      <c r="Y7" s="94"/>
      <c r="Z7" s="97"/>
      <c r="AA7" s="94"/>
      <c r="AB7" s="97">
        <v>-137112.48000000001</v>
      </c>
    </row>
    <row r="8" spans="1:28">
      <c r="A8" s="94"/>
      <c r="B8" s="96"/>
      <c r="C8" s="96"/>
      <c r="D8" s="96"/>
      <c r="E8" s="96"/>
      <c r="F8" s="94" t="s">
        <v>46</v>
      </c>
      <c r="G8" s="94"/>
      <c r="H8" s="95">
        <v>44658</v>
      </c>
      <c r="I8" s="94"/>
      <c r="J8" s="94" t="s">
        <v>132</v>
      </c>
      <c r="K8" s="94"/>
      <c r="L8" s="152" t="s">
        <v>266</v>
      </c>
      <c r="M8" s="94"/>
      <c r="N8" s="94" t="s">
        <v>83</v>
      </c>
      <c r="O8" s="94"/>
      <c r="P8" s="94" t="s">
        <v>166</v>
      </c>
      <c r="Q8" s="94"/>
      <c r="R8" s="94" t="s">
        <v>242</v>
      </c>
      <c r="S8" s="94"/>
      <c r="T8" s="155"/>
      <c r="U8" s="94"/>
      <c r="V8" s="94" t="s">
        <v>241</v>
      </c>
      <c r="W8" s="94"/>
      <c r="X8" s="97">
        <v>94367.39</v>
      </c>
      <c r="Y8" s="94"/>
      <c r="Z8" s="97"/>
      <c r="AA8" s="94"/>
      <c r="AB8" s="97">
        <v>-42745.09</v>
      </c>
    </row>
    <row r="9" spans="1:28">
      <c r="A9" s="94"/>
      <c r="B9" s="96"/>
      <c r="C9" s="96"/>
      <c r="D9" s="96"/>
      <c r="E9" s="96"/>
      <c r="F9" s="163" t="s">
        <v>80</v>
      </c>
      <c r="G9" s="163"/>
      <c r="H9" s="166">
        <v>44669</v>
      </c>
      <c r="I9" s="163"/>
      <c r="J9" s="163" t="s">
        <v>165</v>
      </c>
      <c r="K9" s="163"/>
      <c r="L9" s="165" t="s">
        <v>266</v>
      </c>
      <c r="M9" s="163"/>
      <c r="N9" s="163" t="s">
        <v>82</v>
      </c>
      <c r="O9" s="163"/>
      <c r="P9" s="163" t="s">
        <v>166</v>
      </c>
      <c r="Q9" s="163"/>
      <c r="R9" s="163"/>
      <c r="S9" s="163"/>
      <c r="T9" s="164"/>
      <c r="U9" s="163"/>
      <c r="V9" s="163" t="s">
        <v>243</v>
      </c>
      <c r="W9" s="163"/>
      <c r="X9" s="162"/>
      <c r="Y9" s="163"/>
      <c r="Z9" s="162">
        <v>50000</v>
      </c>
      <c r="AA9" s="94"/>
      <c r="AB9" s="97">
        <v>-92745.09</v>
      </c>
    </row>
    <row r="10" spans="1:28">
      <c r="A10" s="94"/>
      <c r="B10" s="96"/>
      <c r="C10" s="96"/>
      <c r="D10" s="96"/>
      <c r="E10" s="96"/>
      <c r="F10" s="94" t="s">
        <v>46</v>
      </c>
      <c r="G10" s="94"/>
      <c r="H10" s="95">
        <v>44694</v>
      </c>
      <c r="I10" s="94"/>
      <c r="J10" s="94" t="s">
        <v>130</v>
      </c>
      <c r="K10" s="94"/>
      <c r="L10" s="152" t="s">
        <v>266</v>
      </c>
      <c r="M10" s="94"/>
      <c r="N10" s="94" t="s">
        <v>78</v>
      </c>
      <c r="O10" s="94"/>
      <c r="P10" s="94" t="s">
        <v>166</v>
      </c>
      <c r="Q10" s="94"/>
      <c r="R10" s="94" t="s">
        <v>242</v>
      </c>
      <c r="S10" s="94"/>
      <c r="T10" s="155"/>
      <c r="U10" s="94"/>
      <c r="V10" s="94" t="s">
        <v>241</v>
      </c>
      <c r="W10" s="94"/>
      <c r="X10" s="97">
        <v>214895.35</v>
      </c>
      <c r="Y10" s="94"/>
      <c r="Z10" s="97"/>
      <c r="AA10" s="94"/>
      <c r="AB10" s="97">
        <v>122150.26</v>
      </c>
    </row>
    <row r="11" spans="1:28">
      <c r="A11" s="94"/>
      <c r="B11" s="96"/>
      <c r="C11" s="96"/>
      <c r="D11" s="96"/>
      <c r="E11" s="96"/>
      <c r="F11" s="94" t="s">
        <v>42</v>
      </c>
      <c r="G11" s="94"/>
      <c r="H11" s="95">
        <v>44728</v>
      </c>
      <c r="I11" s="94"/>
      <c r="J11" s="94" t="s">
        <v>164</v>
      </c>
      <c r="K11" s="94"/>
      <c r="L11" s="152" t="s">
        <v>266</v>
      </c>
      <c r="M11" s="94"/>
      <c r="N11" s="94" t="s">
        <v>271</v>
      </c>
      <c r="O11" s="94"/>
      <c r="P11" s="94" t="s">
        <v>166</v>
      </c>
      <c r="Q11" s="94"/>
      <c r="R11" s="94"/>
      <c r="S11" s="94"/>
      <c r="T11" s="155"/>
      <c r="U11" s="94"/>
      <c r="V11" s="94" t="s">
        <v>243</v>
      </c>
      <c r="W11" s="94"/>
      <c r="X11" s="97"/>
      <c r="Y11" s="94"/>
      <c r="Z11" s="97">
        <v>122150.26</v>
      </c>
      <c r="AA11" s="94"/>
      <c r="AB11" s="97">
        <v>0</v>
      </c>
    </row>
    <row r="12" spans="1:28">
      <c r="A12" s="94"/>
      <c r="B12" s="96"/>
      <c r="C12" s="96"/>
      <c r="D12" s="96"/>
      <c r="E12" s="96"/>
      <c r="F12" s="94" t="s">
        <v>46</v>
      </c>
      <c r="G12" s="94"/>
      <c r="H12" s="95">
        <v>44735</v>
      </c>
      <c r="I12" s="94"/>
      <c r="J12" s="94" t="s">
        <v>128</v>
      </c>
      <c r="K12" s="94"/>
      <c r="L12" s="152" t="s">
        <v>266</v>
      </c>
      <c r="M12" s="94"/>
      <c r="N12" s="94" t="s">
        <v>67</v>
      </c>
      <c r="O12" s="94"/>
      <c r="P12" s="94" t="s">
        <v>166</v>
      </c>
      <c r="Q12" s="94"/>
      <c r="R12" s="94" t="s">
        <v>242</v>
      </c>
      <c r="S12" s="94"/>
      <c r="T12" s="155"/>
      <c r="U12" s="94"/>
      <c r="V12" s="94" t="s">
        <v>241</v>
      </c>
      <c r="W12" s="94"/>
      <c r="X12" s="97">
        <v>44620.28</v>
      </c>
      <c r="Y12" s="94"/>
      <c r="Z12" s="97"/>
      <c r="AA12" s="94"/>
      <c r="AB12" s="97">
        <v>44620.28</v>
      </c>
    </row>
    <row r="13" spans="1:28">
      <c r="A13" s="94"/>
      <c r="B13" s="96"/>
      <c r="C13" s="96"/>
      <c r="D13" s="96"/>
      <c r="E13" s="96"/>
      <c r="F13" s="94" t="s">
        <v>42</v>
      </c>
      <c r="G13" s="94"/>
      <c r="H13" s="95">
        <v>44762</v>
      </c>
      <c r="I13" s="94"/>
      <c r="J13" s="94" t="s">
        <v>162</v>
      </c>
      <c r="K13" s="94"/>
      <c r="L13" s="152" t="s">
        <v>266</v>
      </c>
      <c r="M13" s="94"/>
      <c r="N13" s="94" t="s">
        <v>270</v>
      </c>
      <c r="O13" s="94"/>
      <c r="P13" s="94" t="s">
        <v>166</v>
      </c>
      <c r="Q13" s="94"/>
      <c r="R13" s="94"/>
      <c r="S13" s="94"/>
      <c r="T13" s="155"/>
      <c r="U13" s="94"/>
      <c r="V13" s="94" t="s">
        <v>243</v>
      </c>
      <c r="W13" s="94"/>
      <c r="X13" s="97"/>
      <c r="Y13" s="94"/>
      <c r="Z13" s="97">
        <v>44620.28</v>
      </c>
      <c r="AA13" s="94"/>
      <c r="AB13" s="97">
        <v>0</v>
      </c>
    </row>
    <row r="14" spans="1:28">
      <c r="A14" s="94"/>
      <c r="B14" s="96"/>
      <c r="C14" s="96"/>
      <c r="D14" s="96"/>
      <c r="E14" s="96"/>
      <c r="F14" s="94" t="s">
        <v>46</v>
      </c>
      <c r="G14" s="94"/>
      <c r="H14" s="95">
        <v>44910</v>
      </c>
      <c r="I14" s="94"/>
      <c r="J14" s="94" t="s">
        <v>127</v>
      </c>
      <c r="K14" s="94"/>
      <c r="L14" s="152" t="s">
        <v>266</v>
      </c>
      <c r="M14" s="94"/>
      <c r="N14" s="94" t="s">
        <v>48</v>
      </c>
      <c r="O14" s="94"/>
      <c r="P14" s="94" t="s">
        <v>166</v>
      </c>
      <c r="Q14" s="94"/>
      <c r="R14" s="94" t="s">
        <v>242</v>
      </c>
      <c r="S14" s="94"/>
      <c r="T14" s="155"/>
      <c r="U14" s="94"/>
      <c r="V14" s="94" t="s">
        <v>241</v>
      </c>
      <c r="W14" s="94"/>
      <c r="X14" s="97">
        <v>230389.47</v>
      </c>
      <c r="Y14" s="94"/>
      <c r="Z14" s="97"/>
      <c r="AA14" s="94"/>
      <c r="AB14" s="97">
        <v>230389.47</v>
      </c>
    </row>
    <row r="15" spans="1:28">
      <c r="A15" s="94"/>
      <c r="B15" s="96"/>
      <c r="C15" s="96"/>
      <c r="D15" s="96"/>
      <c r="E15" s="96"/>
      <c r="F15" s="94" t="s">
        <v>42</v>
      </c>
      <c r="G15" s="94"/>
      <c r="H15" s="95">
        <v>44937</v>
      </c>
      <c r="I15" s="94"/>
      <c r="J15" s="94" t="s">
        <v>160</v>
      </c>
      <c r="K15" s="94"/>
      <c r="L15" s="152" t="s">
        <v>266</v>
      </c>
      <c r="M15" s="94"/>
      <c r="N15" s="94" t="s">
        <v>269</v>
      </c>
      <c r="O15" s="94"/>
      <c r="P15" s="94" t="s">
        <v>166</v>
      </c>
      <c r="Q15" s="94"/>
      <c r="R15" s="94"/>
      <c r="S15" s="94"/>
      <c r="T15" s="155"/>
      <c r="U15" s="94"/>
      <c r="V15" s="94" t="s">
        <v>243</v>
      </c>
      <c r="W15" s="94"/>
      <c r="X15" s="97"/>
      <c r="Y15" s="94"/>
      <c r="Z15" s="97">
        <v>230389.47</v>
      </c>
      <c r="AA15" s="94"/>
      <c r="AB15" s="97">
        <v>0</v>
      </c>
    </row>
    <row r="16" spans="1:28">
      <c r="A16" s="94"/>
      <c r="B16" s="96"/>
      <c r="C16" s="96"/>
      <c r="D16" s="96"/>
      <c r="E16" s="96"/>
      <c r="F16" s="94" t="s">
        <v>42</v>
      </c>
      <c r="G16" s="94"/>
      <c r="H16" s="95">
        <v>44966</v>
      </c>
      <c r="I16" s="94"/>
      <c r="J16" s="94" t="s">
        <v>158</v>
      </c>
      <c r="K16" s="94"/>
      <c r="L16" s="152" t="s">
        <v>266</v>
      </c>
      <c r="M16" s="94"/>
      <c r="N16" s="94" t="s">
        <v>157</v>
      </c>
      <c r="O16" s="94"/>
      <c r="P16" s="94" t="s">
        <v>166</v>
      </c>
      <c r="Q16" s="94"/>
      <c r="R16" s="94"/>
      <c r="S16" s="94"/>
      <c r="T16" s="155"/>
      <c r="U16" s="94"/>
      <c r="V16" s="94" t="s">
        <v>268</v>
      </c>
      <c r="W16" s="94"/>
      <c r="X16" s="97">
        <v>36000</v>
      </c>
      <c r="Y16" s="94"/>
      <c r="Z16" s="97"/>
      <c r="AA16" s="94"/>
      <c r="AB16" s="97">
        <v>36000</v>
      </c>
    </row>
    <row r="17" spans="1:28">
      <c r="A17" s="94"/>
      <c r="B17" s="96"/>
      <c r="C17" s="96"/>
      <c r="D17" s="96"/>
      <c r="E17" s="96"/>
      <c r="F17" s="94" t="s">
        <v>80</v>
      </c>
      <c r="G17" s="94"/>
      <c r="H17" s="95">
        <v>45051</v>
      </c>
      <c r="I17" s="94"/>
      <c r="J17" s="94" t="s">
        <v>156</v>
      </c>
      <c r="K17" s="94"/>
      <c r="L17" s="152" t="s">
        <v>266</v>
      </c>
      <c r="M17" s="94"/>
      <c r="N17" s="94" t="s">
        <v>155</v>
      </c>
      <c r="O17" s="94"/>
      <c r="P17" s="94" t="s">
        <v>166</v>
      </c>
      <c r="Q17" s="94"/>
      <c r="R17" s="94"/>
      <c r="S17" s="94"/>
      <c r="T17" s="155"/>
      <c r="U17" s="94"/>
      <c r="V17" s="94" t="s">
        <v>267</v>
      </c>
      <c r="W17" s="94"/>
      <c r="X17" s="97"/>
      <c r="Y17" s="94"/>
      <c r="Z17" s="97">
        <v>50000</v>
      </c>
      <c r="AA17" s="94"/>
      <c r="AB17" s="97">
        <v>-14000</v>
      </c>
    </row>
    <row r="18" spans="1:28">
      <c r="A18" s="94"/>
      <c r="B18" s="96"/>
      <c r="C18" s="96"/>
      <c r="D18" s="96"/>
      <c r="E18" s="96"/>
      <c r="F18" s="94" t="s">
        <v>80</v>
      </c>
      <c r="G18" s="94"/>
      <c r="H18" s="95">
        <v>45051</v>
      </c>
      <c r="I18" s="94"/>
      <c r="J18" s="94" t="s">
        <v>154</v>
      </c>
      <c r="K18" s="94"/>
      <c r="L18" s="152" t="s">
        <v>266</v>
      </c>
      <c r="M18" s="94"/>
      <c r="N18" s="94" t="s">
        <v>153</v>
      </c>
      <c r="O18" s="94"/>
      <c r="P18" s="94" t="s">
        <v>166</v>
      </c>
      <c r="Q18" s="94"/>
      <c r="R18" s="94"/>
      <c r="S18" s="94"/>
      <c r="T18" s="155"/>
      <c r="U18" s="94"/>
      <c r="V18" s="94" t="s">
        <v>267</v>
      </c>
      <c r="W18" s="94"/>
      <c r="X18" s="97"/>
      <c r="Y18" s="94"/>
      <c r="Z18" s="97">
        <v>250000</v>
      </c>
      <c r="AA18" s="94"/>
      <c r="AB18" s="97">
        <v>-264000</v>
      </c>
    </row>
    <row r="19" spans="1:28">
      <c r="A19" s="94"/>
      <c r="B19" s="96"/>
      <c r="C19" s="96"/>
      <c r="D19" s="96"/>
      <c r="E19" s="96"/>
      <c r="F19" s="94" t="s">
        <v>80</v>
      </c>
      <c r="G19" s="94"/>
      <c r="H19" s="95">
        <v>45061</v>
      </c>
      <c r="I19" s="94"/>
      <c r="J19" s="94" t="s">
        <v>152</v>
      </c>
      <c r="K19" s="94"/>
      <c r="L19" s="152" t="s">
        <v>266</v>
      </c>
      <c r="M19" s="94"/>
      <c r="N19" s="94" t="s">
        <v>151</v>
      </c>
      <c r="O19" s="94"/>
      <c r="P19" s="94" t="s">
        <v>166</v>
      </c>
      <c r="Q19" s="94"/>
      <c r="R19" s="94"/>
      <c r="S19" s="94"/>
      <c r="T19" s="155"/>
      <c r="U19" s="94"/>
      <c r="V19" s="94" t="s">
        <v>239</v>
      </c>
      <c r="W19" s="94"/>
      <c r="X19" s="97"/>
      <c r="Y19" s="94"/>
      <c r="Z19" s="97">
        <v>70233.3</v>
      </c>
      <c r="AA19" s="94"/>
      <c r="AB19" s="97">
        <v>-334233.3</v>
      </c>
    </row>
    <row r="20" spans="1:28" ht="15.75" thickBot="1">
      <c r="A20" s="94"/>
      <c r="B20" s="96"/>
      <c r="C20" s="96"/>
      <c r="D20" s="96"/>
      <c r="E20" s="96"/>
      <c r="F20" s="94" t="s">
        <v>46</v>
      </c>
      <c r="G20" s="94"/>
      <c r="H20" s="95">
        <v>45078</v>
      </c>
      <c r="I20" s="94"/>
      <c r="J20" s="94" t="s">
        <v>126</v>
      </c>
      <c r="K20" s="94"/>
      <c r="L20" s="152" t="s">
        <v>266</v>
      </c>
      <c r="M20" s="94"/>
      <c r="N20" s="94" t="s">
        <v>150</v>
      </c>
      <c r="O20" s="94"/>
      <c r="P20" s="94" t="s">
        <v>166</v>
      </c>
      <c r="Q20" s="94"/>
      <c r="R20" s="94" t="s">
        <v>242</v>
      </c>
      <c r="S20" s="94"/>
      <c r="T20" s="155"/>
      <c r="U20" s="94"/>
      <c r="V20" s="94" t="s">
        <v>241</v>
      </c>
      <c r="W20" s="94"/>
      <c r="X20" s="99">
        <v>368550</v>
      </c>
      <c r="Y20" s="94"/>
      <c r="Z20" s="99"/>
      <c r="AA20" s="94"/>
      <c r="AB20" s="99">
        <v>34316.699999999997</v>
      </c>
    </row>
    <row r="21" spans="1:28" s="153" customFormat="1">
      <c r="A21" s="92"/>
      <c r="B21" s="92"/>
      <c r="C21" s="92" t="s">
        <v>265</v>
      </c>
      <c r="D21" s="92"/>
      <c r="E21" s="92"/>
      <c r="F21" s="92"/>
      <c r="G21" s="92"/>
      <c r="H21" s="150"/>
      <c r="I21" s="92"/>
      <c r="J21" s="92"/>
      <c r="K21" s="92"/>
      <c r="L21" s="149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148">
        <f>ROUND(SUM(X4:X20),5)</f>
        <v>1201710.01</v>
      </c>
      <c r="Y21" s="92"/>
      <c r="Z21" s="148">
        <f>ROUND(SUM(Z4:Z20),5)</f>
        <v>1167393.31</v>
      </c>
      <c r="AA21" s="92"/>
      <c r="AB21" s="148">
        <f>AB20</f>
        <v>34316.699999999997</v>
      </c>
    </row>
    <row r="22" spans="1:28">
      <c r="A22" s="90"/>
      <c r="B22" s="92"/>
      <c r="C22" s="92" t="s">
        <v>264</v>
      </c>
      <c r="D22" s="92"/>
      <c r="E22" s="92"/>
      <c r="F22" s="90"/>
      <c r="G22" s="90"/>
      <c r="H22" s="91"/>
      <c r="I22" s="90"/>
      <c r="J22" s="90"/>
      <c r="K22" s="90"/>
      <c r="L22" s="156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8"/>
      <c r="Y22" s="90"/>
      <c r="Z22" s="98"/>
      <c r="AA22" s="90"/>
      <c r="AB22" s="98"/>
    </row>
    <row r="23" spans="1:28">
      <c r="A23" s="94"/>
      <c r="B23" s="96"/>
      <c r="C23" s="96"/>
      <c r="D23" s="96"/>
      <c r="E23" s="96"/>
      <c r="F23" s="94" t="s">
        <v>46</v>
      </c>
      <c r="G23" s="94"/>
      <c r="H23" s="95">
        <v>44694</v>
      </c>
      <c r="I23" s="94"/>
      <c r="J23" s="94" t="s">
        <v>175</v>
      </c>
      <c r="K23" s="94"/>
      <c r="L23" s="152" t="s">
        <v>257</v>
      </c>
      <c r="M23" s="94"/>
      <c r="N23" s="94" t="s">
        <v>77</v>
      </c>
      <c r="O23" s="94"/>
      <c r="P23" s="94" t="s">
        <v>166</v>
      </c>
      <c r="Q23" s="94"/>
      <c r="R23" s="94" t="s">
        <v>242</v>
      </c>
      <c r="S23" s="94"/>
      <c r="T23" s="155"/>
      <c r="U23" s="94"/>
      <c r="V23" s="94" t="s">
        <v>241</v>
      </c>
      <c r="W23" s="94"/>
      <c r="X23" s="97">
        <v>217067.76</v>
      </c>
      <c r="Y23" s="94"/>
      <c r="Z23" s="97"/>
      <c r="AA23" s="94"/>
      <c r="AB23" s="97">
        <v>217067.76</v>
      </c>
    </row>
    <row r="24" spans="1:28">
      <c r="A24" s="94"/>
      <c r="B24" s="96"/>
      <c r="C24" s="96"/>
      <c r="D24" s="96"/>
      <c r="E24" s="96"/>
      <c r="F24" s="94" t="s">
        <v>42</v>
      </c>
      <c r="G24" s="94"/>
      <c r="H24" s="95">
        <v>44728</v>
      </c>
      <c r="I24" s="94"/>
      <c r="J24" s="94" t="s">
        <v>197</v>
      </c>
      <c r="K24" s="94"/>
      <c r="L24" s="152" t="s">
        <v>257</v>
      </c>
      <c r="M24" s="94"/>
      <c r="N24" s="94" t="s">
        <v>263</v>
      </c>
      <c r="O24" s="94"/>
      <c r="P24" s="94" t="s">
        <v>166</v>
      </c>
      <c r="Q24" s="94"/>
      <c r="R24" s="94"/>
      <c r="S24" s="94"/>
      <c r="T24" s="155"/>
      <c r="U24" s="94"/>
      <c r="V24" s="94" t="s">
        <v>243</v>
      </c>
      <c r="W24" s="94"/>
      <c r="X24" s="97"/>
      <c r="Y24" s="94"/>
      <c r="Z24" s="97">
        <v>217067.76</v>
      </c>
      <c r="AA24" s="94"/>
      <c r="AB24" s="97">
        <v>0</v>
      </c>
    </row>
    <row r="25" spans="1:28">
      <c r="A25" s="94"/>
      <c r="B25" s="96"/>
      <c r="C25" s="96"/>
      <c r="D25" s="96"/>
      <c r="E25" s="96"/>
      <c r="F25" s="94" t="s">
        <v>46</v>
      </c>
      <c r="G25" s="94"/>
      <c r="H25" s="95">
        <v>44732</v>
      </c>
      <c r="I25" s="94"/>
      <c r="J25" s="94" t="s">
        <v>174</v>
      </c>
      <c r="K25" s="94"/>
      <c r="L25" s="152" t="s">
        <v>257</v>
      </c>
      <c r="M25" s="94"/>
      <c r="N25" s="94" t="s">
        <v>70</v>
      </c>
      <c r="O25" s="94"/>
      <c r="P25" s="94" t="s">
        <v>166</v>
      </c>
      <c r="Q25" s="94"/>
      <c r="R25" s="94" t="s">
        <v>242</v>
      </c>
      <c r="S25" s="94"/>
      <c r="T25" s="155"/>
      <c r="U25" s="94"/>
      <c r="V25" s="94" t="s">
        <v>241</v>
      </c>
      <c r="W25" s="94"/>
      <c r="X25" s="97">
        <v>136753.68</v>
      </c>
      <c r="Y25" s="94"/>
      <c r="Z25" s="97"/>
      <c r="AA25" s="94"/>
      <c r="AB25" s="97">
        <v>136753.68</v>
      </c>
    </row>
    <row r="26" spans="1:28">
      <c r="A26" s="94"/>
      <c r="B26" s="96"/>
      <c r="C26" s="96"/>
      <c r="D26" s="96"/>
      <c r="E26" s="96"/>
      <c r="F26" s="94" t="s">
        <v>42</v>
      </c>
      <c r="G26" s="94"/>
      <c r="H26" s="95">
        <v>44762</v>
      </c>
      <c r="I26" s="94"/>
      <c r="J26" s="94" t="s">
        <v>195</v>
      </c>
      <c r="K26" s="94"/>
      <c r="L26" s="152" t="s">
        <v>257</v>
      </c>
      <c r="M26" s="94"/>
      <c r="N26" s="94" t="s">
        <v>262</v>
      </c>
      <c r="O26" s="94"/>
      <c r="P26" s="94" t="s">
        <v>166</v>
      </c>
      <c r="Q26" s="94"/>
      <c r="R26" s="94"/>
      <c r="S26" s="94"/>
      <c r="T26" s="155"/>
      <c r="U26" s="94"/>
      <c r="V26" s="94" t="s">
        <v>243</v>
      </c>
      <c r="W26" s="94"/>
      <c r="X26" s="97"/>
      <c r="Y26" s="94"/>
      <c r="Z26" s="97">
        <v>136753.68</v>
      </c>
      <c r="AA26" s="94"/>
      <c r="AB26" s="97">
        <v>0</v>
      </c>
    </row>
    <row r="27" spans="1:28">
      <c r="A27" s="94"/>
      <c r="B27" s="96"/>
      <c r="C27" s="96"/>
      <c r="D27" s="96"/>
      <c r="E27" s="96"/>
      <c r="F27" s="94" t="s">
        <v>46</v>
      </c>
      <c r="G27" s="94"/>
      <c r="H27" s="95">
        <v>44770</v>
      </c>
      <c r="I27" s="94"/>
      <c r="J27" s="94" t="s">
        <v>173</v>
      </c>
      <c r="K27" s="94"/>
      <c r="L27" s="152" t="s">
        <v>257</v>
      </c>
      <c r="M27" s="94"/>
      <c r="N27" s="94" t="s">
        <v>62</v>
      </c>
      <c r="O27" s="94"/>
      <c r="P27" s="94" t="s">
        <v>166</v>
      </c>
      <c r="Q27" s="94"/>
      <c r="R27" s="94" t="s">
        <v>242</v>
      </c>
      <c r="S27" s="94"/>
      <c r="T27" s="155"/>
      <c r="U27" s="94"/>
      <c r="V27" s="94" t="s">
        <v>241</v>
      </c>
      <c r="W27" s="94"/>
      <c r="X27" s="97">
        <v>85322.16</v>
      </c>
      <c r="Y27" s="94"/>
      <c r="Z27" s="97"/>
      <c r="AA27" s="94"/>
      <c r="AB27" s="97">
        <v>85322.16</v>
      </c>
    </row>
    <row r="28" spans="1:28">
      <c r="A28" s="94"/>
      <c r="B28" s="96"/>
      <c r="C28" s="96"/>
      <c r="D28" s="96"/>
      <c r="E28" s="96"/>
      <c r="F28" s="94" t="s">
        <v>42</v>
      </c>
      <c r="G28" s="94"/>
      <c r="H28" s="95">
        <v>44813</v>
      </c>
      <c r="I28" s="94"/>
      <c r="J28" s="94" t="s">
        <v>193</v>
      </c>
      <c r="K28" s="94"/>
      <c r="L28" s="152" t="s">
        <v>257</v>
      </c>
      <c r="M28" s="94"/>
      <c r="N28" s="94" t="s">
        <v>261</v>
      </c>
      <c r="O28" s="94"/>
      <c r="P28" s="94" t="s">
        <v>166</v>
      </c>
      <c r="Q28" s="94"/>
      <c r="R28" s="94"/>
      <c r="S28" s="94"/>
      <c r="T28" s="155"/>
      <c r="U28" s="94"/>
      <c r="V28" s="94" t="s">
        <v>243</v>
      </c>
      <c r="W28" s="94"/>
      <c r="X28" s="97"/>
      <c r="Y28" s="94"/>
      <c r="Z28" s="97">
        <v>85322.16</v>
      </c>
      <c r="AA28" s="94"/>
      <c r="AB28" s="97">
        <v>0</v>
      </c>
    </row>
    <row r="29" spans="1:28">
      <c r="A29" s="94"/>
      <c r="B29" s="96"/>
      <c r="C29" s="96"/>
      <c r="D29" s="96"/>
      <c r="E29" s="96"/>
      <c r="F29" s="94" t="s">
        <v>46</v>
      </c>
      <c r="G29" s="94"/>
      <c r="H29" s="95">
        <v>44910</v>
      </c>
      <c r="I29" s="94"/>
      <c r="J29" s="94" t="s">
        <v>172</v>
      </c>
      <c r="K29" s="94"/>
      <c r="L29" s="152" t="s">
        <v>257</v>
      </c>
      <c r="M29" s="94"/>
      <c r="N29" s="94" t="s">
        <v>47</v>
      </c>
      <c r="O29" s="94"/>
      <c r="P29" s="94" t="s">
        <v>166</v>
      </c>
      <c r="Q29" s="94"/>
      <c r="R29" s="94" t="s">
        <v>242</v>
      </c>
      <c r="S29" s="94"/>
      <c r="T29" s="155"/>
      <c r="U29" s="94"/>
      <c r="V29" s="94" t="s">
        <v>241</v>
      </c>
      <c r="W29" s="94"/>
      <c r="X29" s="97">
        <v>225289.68</v>
      </c>
      <c r="Y29" s="94"/>
      <c r="Z29" s="97"/>
      <c r="AA29" s="94"/>
      <c r="AB29" s="97">
        <v>225289.68</v>
      </c>
    </row>
    <row r="30" spans="1:28">
      <c r="A30" s="94"/>
      <c r="B30" s="96"/>
      <c r="C30" s="96"/>
      <c r="D30" s="96"/>
      <c r="E30" s="96"/>
      <c r="F30" s="94" t="s">
        <v>46</v>
      </c>
      <c r="G30" s="94"/>
      <c r="H30" s="95">
        <v>44915</v>
      </c>
      <c r="I30" s="94"/>
      <c r="J30" s="94" t="s">
        <v>171</v>
      </c>
      <c r="K30" s="94"/>
      <c r="L30" s="152" t="s">
        <v>257</v>
      </c>
      <c r="M30" s="94"/>
      <c r="N30" s="94" t="s">
        <v>45</v>
      </c>
      <c r="O30" s="94"/>
      <c r="P30" s="94" t="s">
        <v>166</v>
      </c>
      <c r="Q30" s="94"/>
      <c r="R30" s="94" t="s">
        <v>242</v>
      </c>
      <c r="S30" s="94"/>
      <c r="T30" s="155"/>
      <c r="U30" s="94"/>
      <c r="V30" s="94" t="s">
        <v>241</v>
      </c>
      <c r="W30" s="94"/>
      <c r="X30" s="97">
        <v>146813.51999999999</v>
      </c>
      <c r="Y30" s="94"/>
      <c r="Z30" s="97"/>
      <c r="AA30" s="94"/>
      <c r="AB30" s="97">
        <v>372103.2</v>
      </c>
    </row>
    <row r="31" spans="1:28">
      <c r="A31" s="94"/>
      <c r="B31" s="96"/>
      <c r="C31" s="96"/>
      <c r="D31" s="96"/>
      <c r="E31" s="96"/>
      <c r="F31" s="94" t="s">
        <v>42</v>
      </c>
      <c r="G31" s="94"/>
      <c r="H31" s="95">
        <v>44937</v>
      </c>
      <c r="I31" s="94"/>
      <c r="J31" s="94" t="s">
        <v>191</v>
      </c>
      <c r="K31" s="94"/>
      <c r="L31" s="152" t="s">
        <v>257</v>
      </c>
      <c r="M31" s="94"/>
      <c r="N31" s="94" t="s">
        <v>260</v>
      </c>
      <c r="O31" s="94"/>
      <c r="P31" s="94" t="s">
        <v>166</v>
      </c>
      <c r="Q31" s="94"/>
      <c r="R31" s="94"/>
      <c r="S31" s="94"/>
      <c r="T31" s="155"/>
      <c r="U31" s="94"/>
      <c r="V31" s="94" t="s">
        <v>243</v>
      </c>
      <c r="W31" s="94"/>
      <c r="X31" s="97"/>
      <c r="Y31" s="94"/>
      <c r="Z31" s="97">
        <v>225289.68</v>
      </c>
      <c r="AA31" s="94"/>
      <c r="AB31" s="97">
        <v>146813.51999999999</v>
      </c>
    </row>
    <row r="32" spans="1:28">
      <c r="A32" s="94"/>
      <c r="B32" s="96"/>
      <c r="C32" s="96"/>
      <c r="D32" s="96"/>
      <c r="E32" s="96"/>
      <c r="F32" s="94" t="s">
        <v>42</v>
      </c>
      <c r="G32" s="94"/>
      <c r="H32" s="95">
        <v>44971</v>
      </c>
      <c r="I32" s="94"/>
      <c r="J32" s="94" t="s">
        <v>189</v>
      </c>
      <c r="K32" s="94"/>
      <c r="L32" s="152" t="s">
        <v>257</v>
      </c>
      <c r="M32" s="94"/>
      <c r="N32" s="94" t="s">
        <v>259</v>
      </c>
      <c r="O32" s="94"/>
      <c r="P32" s="94" t="s">
        <v>166</v>
      </c>
      <c r="Q32" s="94"/>
      <c r="R32" s="94"/>
      <c r="S32" s="94"/>
      <c r="T32" s="155"/>
      <c r="U32" s="94"/>
      <c r="V32" s="94" t="s">
        <v>258</v>
      </c>
      <c r="W32" s="94"/>
      <c r="X32" s="97"/>
      <c r="Y32" s="94"/>
      <c r="Z32" s="97">
        <v>146813.51999999999</v>
      </c>
      <c r="AA32" s="94"/>
      <c r="AB32" s="97">
        <v>0</v>
      </c>
    </row>
    <row r="33" spans="1:28">
      <c r="A33" s="94"/>
      <c r="B33" s="96"/>
      <c r="C33" s="96"/>
      <c r="D33" s="96"/>
      <c r="E33" s="96"/>
      <c r="F33" s="94" t="s">
        <v>46</v>
      </c>
      <c r="G33" s="94"/>
      <c r="H33" s="95">
        <v>45001</v>
      </c>
      <c r="I33" s="94"/>
      <c r="J33" s="94" t="s">
        <v>170</v>
      </c>
      <c r="K33" s="94"/>
      <c r="L33" s="152" t="s">
        <v>257</v>
      </c>
      <c r="M33" s="94"/>
      <c r="N33" s="94" t="s">
        <v>187</v>
      </c>
      <c r="O33" s="94"/>
      <c r="P33" s="94" t="s">
        <v>166</v>
      </c>
      <c r="Q33" s="94"/>
      <c r="R33" s="94" t="s">
        <v>242</v>
      </c>
      <c r="S33" s="94"/>
      <c r="T33" s="155"/>
      <c r="U33" s="94"/>
      <c r="V33" s="94" t="s">
        <v>241</v>
      </c>
      <c r="W33" s="94"/>
      <c r="X33" s="97">
        <v>175812</v>
      </c>
      <c r="Y33" s="94"/>
      <c r="Z33" s="97"/>
      <c r="AA33" s="94"/>
      <c r="AB33" s="97">
        <v>175812</v>
      </c>
    </row>
    <row r="34" spans="1:28">
      <c r="A34" s="94"/>
      <c r="B34" s="96"/>
      <c r="C34" s="96"/>
      <c r="D34" s="96"/>
      <c r="E34" s="96"/>
      <c r="F34" s="94" t="s">
        <v>80</v>
      </c>
      <c r="G34" s="94"/>
      <c r="H34" s="95">
        <v>45056</v>
      </c>
      <c r="I34" s="94"/>
      <c r="J34" s="94" t="s">
        <v>186</v>
      </c>
      <c r="K34" s="94"/>
      <c r="L34" s="152" t="s">
        <v>257</v>
      </c>
      <c r="M34" s="94"/>
      <c r="N34" s="94" t="s">
        <v>185</v>
      </c>
      <c r="O34" s="94"/>
      <c r="P34" s="94" t="s">
        <v>166</v>
      </c>
      <c r="Q34" s="94"/>
      <c r="R34" s="94"/>
      <c r="S34" s="94"/>
      <c r="T34" s="155"/>
      <c r="U34" s="94"/>
      <c r="V34" s="94" t="s">
        <v>239</v>
      </c>
      <c r="W34" s="94"/>
      <c r="X34" s="97"/>
      <c r="Y34" s="94"/>
      <c r="Z34" s="97">
        <v>689850</v>
      </c>
      <c r="AA34" s="94"/>
      <c r="AB34" s="97">
        <v>-514038</v>
      </c>
    </row>
    <row r="35" spans="1:28">
      <c r="A35" s="94"/>
      <c r="B35" s="96"/>
      <c r="C35" s="96"/>
      <c r="D35" s="96"/>
      <c r="E35" s="96"/>
      <c r="F35" s="94" t="s">
        <v>80</v>
      </c>
      <c r="G35" s="94"/>
      <c r="H35" s="95">
        <v>45061</v>
      </c>
      <c r="I35" s="94"/>
      <c r="J35" s="94" t="s">
        <v>152</v>
      </c>
      <c r="K35" s="94"/>
      <c r="L35" s="152" t="s">
        <v>257</v>
      </c>
      <c r="M35" s="94"/>
      <c r="N35" s="94" t="s">
        <v>151</v>
      </c>
      <c r="O35" s="94"/>
      <c r="P35" s="94" t="s">
        <v>166</v>
      </c>
      <c r="Q35" s="94"/>
      <c r="R35" s="94"/>
      <c r="S35" s="94"/>
      <c r="T35" s="155"/>
      <c r="U35" s="94"/>
      <c r="V35" s="94" t="s">
        <v>239</v>
      </c>
      <c r="W35" s="94"/>
      <c r="X35" s="97"/>
      <c r="Y35" s="94"/>
      <c r="Z35" s="97">
        <v>552503.69999999995</v>
      </c>
      <c r="AA35" s="94"/>
      <c r="AB35" s="97">
        <v>-1066541.7</v>
      </c>
    </row>
    <row r="36" spans="1:28">
      <c r="A36" s="94"/>
      <c r="B36" s="96"/>
      <c r="C36" s="96"/>
      <c r="D36" s="96"/>
      <c r="E36" s="96"/>
      <c r="F36" s="94" t="s">
        <v>46</v>
      </c>
      <c r="G36" s="94"/>
      <c r="H36" s="95">
        <v>45078</v>
      </c>
      <c r="I36" s="94"/>
      <c r="J36" s="94" t="s">
        <v>169</v>
      </c>
      <c r="K36" s="94"/>
      <c r="L36" s="152" t="s">
        <v>257</v>
      </c>
      <c r="M36" s="94"/>
      <c r="N36" s="94" t="s">
        <v>184</v>
      </c>
      <c r="O36" s="94"/>
      <c r="P36" s="94" t="s">
        <v>166</v>
      </c>
      <c r="Q36" s="94"/>
      <c r="R36" s="94" t="s">
        <v>242</v>
      </c>
      <c r="S36" s="94"/>
      <c r="T36" s="155"/>
      <c r="U36" s="94"/>
      <c r="V36" s="94" t="s">
        <v>241</v>
      </c>
      <c r="W36" s="94"/>
      <c r="X36" s="97">
        <v>689850</v>
      </c>
      <c r="Y36" s="94"/>
      <c r="Z36" s="97"/>
      <c r="AA36" s="94"/>
      <c r="AB36" s="97">
        <v>-376691.7</v>
      </c>
    </row>
    <row r="37" spans="1:28">
      <c r="A37" s="94"/>
      <c r="B37" s="96"/>
      <c r="C37" s="96"/>
      <c r="D37" s="96"/>
      <c r="E37" s="96"/>
      <c r="F37" s="94" t="s">
        <v>42</v>
      </c>
      <c r="G37" s="94"/>
      <c r="H37" s="95">
        <v>45078</v>
      </c>
      <c r="I37" s="94"/>
      <c r="J37" s="94" t="s">
        <v>177</v>
      </c>
      <c r="K37" s="94"/>
      <c r="L37" s="152" t="s">
        <v>257</v>
      </c>
      <c r="M37" s="94"/>
      <c r="N37" s="94" t="s">
        <v>176</v>
      </c>
      <c r="O37" s="94"/>
      <c r="P37" s="94" t="s">
        <v>166</v>
      </c>
      <c r="Q37" s="94"/>
      <c r="R37" s="94"/>
      <c r="S37" s="94"/>
      <c r="T37" s="155"/>
      <c r="U37" s="94"/>
      <c r="V37" s="94" t="s">
        <v>241</v>
      </c>
      <c r="W37" s="94"/>
      <c r="X37" s="97">
        <v>272750.09999999998</v>
      </c>
      <c r="Y37" s="94"/>
      <c r="Z37" s="97"/>
      <c r="AA37" s="94"/>
      <c r="AB37" s="97">
        <v>-103941.6</v>
      </c>
    </row>
    <row r="38" spans="1:28">
      <c r="A38" s="94"/>
      <c r="B38" s="96"/>
      <c r="C38" s="96"/>
      <c r="D38" s="96"/>
      <c r="E38" s="96"/>
      <c r="F38" s="94" t="s">
        <v>46</v>
      </c>
      <c r="G38" s="94"/>
      <c r="H38" s="95">
        <v>45082</v>
      </c>
      <c r="I38" s="94"/>
      <c r="J38" s="94" t="s">
        <v>168</v>
      </c>
      <c r="K38" s="94"/>
      <c r="L38" s="152" t="s">
        <v>257</v>
      </c>
      <c r="M38" s="94"/>
      <c r="N38" s="94" t="s">
        <v>183</v>
      </c>
      <c r="O38" s="94"/>
      <c r="P38" s="94" t="s">
        <v>166</v>
      </c>
      <c r="Q38" s="94"/>
      <c r="R38" s="94" t="s">
        <v>242</v>
      </c>
      <c r="S38" s="94"/>
      <c r="T38" s="155"/>
      <c r="U38" s="94"/>
      <c r="V38" s="94" t="s">
        <v>241</v>
      </c>
      <c r="W38" s="94"/>
      <c r="X38" s="97">
        <v>103941.6</v>
      </c>
      <c r="Y38" s="94"/>
      <c r="Z38" s="97"/>
      <c r="AA38" s="94"/>
      <c r="AB38" s="97">
        <v>0</v>
      </c>
    </row>
    <row r="39" spans="1:28" ht="15.75" thickBot="1">
      <c r="A39" s="94"/>
      <c r="B39" s="96"/>
      <c r="C39" s="96"/>
      <c r="D39" s="96"/>
      <c r="E39" s="96"/>
      <c r="F39" s="94" t="s">
        <v>46</v>
      </c>
      <c r="G39" s="94"/>
      <c r="H39" s="95">
        <v>45082</v>
      </c>
      <c r="I39" s="94"/>
      <c r="J39" s="94" t="s">
        <v>167</v>
      </c>
      <c r="K39" s="94"/>
      <c r="L39" s="152" t="s">
        <v>257</v>
      </c>
      <c r="M39" s="94"/>
      <c r="N39" s="94" t="s">
        <v>182</v>
      </c>
      <c r="O39" s="94"/>
      <c r="P39" s="94" t="s">
        <v>166</v>
      </c>
      <c r="Q39" s="94"/>
      <c r="R39" s="94" t="s">
        <v>242</v>
      </c>
      <c r="S39" s="94"/>
      <c r="T39" s="155"/>
      <c r="U39" s="94"/>
      <c r="V39" s="94" t="s">
        <v>241</v>
      </c>
      <c r="W39" s="94"/>
      <c r="X39" s="99">
        <v>361399.5</v>
      </c>
      <c r="Y39" s="94"/>
      <c r="Z39" s="99"/>
      <c r="AA39" s="94"/>
      <c r="AB39" s="99">
        <v>361399.5</v>
      </c>
    </row>
    <row r="40" spans="1:28" s="153" customFormat="1">
      <c r="A40" s="92"/>
      <c r="B40" s="92"/>
      <c r="C40" s="92" t="s">
        <v>256</v>
      </c>
      <c r="D40" s="92"/>
      <c r="E40" s="92"/>
      <c r="F40" s="92"/>
      <c r="G40" s="92"/>
      <c r="H40" s="150"/>
      <c r="I40" s="92"/>
      <c r="J40" s="92"/>
      <c r="K40" s="92"/>
      <c r="L40" s="149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148">
        <f>ROUND(SUM(X22:X39),5)</f>
        <v>2415000</v>
      </c>
      <c r="Y40" s="92"/>
      <c r="Z40" s="148">
        <f>ROUND(SUM(Z22:Z39),5)</f>
        <v>2053600.5</v>
      </c>
      <c r="AA40" s="92"/>
      <c r="AB40" s="148">
        <f>AB39</f>
        <v>361399.5</v>
      </c>
    </row>
    <row r="41" spans="1:28">
      <c r="A41" s="90"/>
      <c r="B41" s="92"/>
      <c r="C41" s="92" t="s">
        <v>255</v>
      </c>
      <c r="D41" s="92"/>
      <c r="E41" s="92"/>
      <c r="F41" s="90"/>
      <c r="G41" s="90"/>
      <c r="H41" s="91"/>
      <c r="I41" s="90"/>
      <c r="J41" s="90"/>
      <c r="K41" s="90"/>
      <c r="L41" s="156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8"/>
      <c r="Y41" s="90"/>
      <c r="Z41" s="98"/>
      <c r="AA41" s="90"/>
      <c r="AB41" s="98"/>
    </row>
    <row r="42" spans="1:28">
      <c r="A42" s="94"/>
      <c r="B42" s="96"/>
      <c r="C42" s="96"/>
      <c r="D42" s="96"/>
      <c r="E42" s="96"/>
      <c r="F42" s="158" t="s">
        <v>80</v>
      </c>
      <c r="G42" s="158"/>
      <c r="H42" s="161">
        <v>44678</v>
      </c>
      <c r="I42" s="158"/>
      <c r="J42" s="158" t="s">
        <v>219</v>
      </c>
      <c r="K42" s="158"/>
      <c r="L42" s="160" t="s">
        <v>250</v>
      </c>
      <c r="M42" s="158"/>
      <c r="N42" s="158" t="s">
        <v>81</v>
      </c>
      <c r="O42" s="158"/>
      <c r="P42" s="158" t="s">
        <v>166</v>
      </c>
      <c r="Q42" s="158"/>
      <c r="R42" s="158"/>
      <c r="S42" s="158"/>
      <c r="T42" s="159"/>
      <c r="U42" s="158"/>
      <c r="V42" s="158" t="s">
        <v>243</v>
      </c>
      <c r="W42" s="158"/>
      <c r="X42" s="157"/>
      <c r="Y42" s="158"/>
      <c r="Z42" s="157">
        <v>100000</v>
      </c>
      <c r="AA42" s="94"/>
      <c r="AB42" s="97">
        <v>-100000</v>
      </c>
    </row>
    <row r="43" spans="1:28">
      <c r="A43" s="94"/>
      <c r="B43" s="96"/>
      <c r="C43" s="96"/>
      <c r="D43" s="96"/>
      <c r="E43" s="96"/>
      <c r="F43" s="158" t="s">
        <v>80</v>
      </c>
      <c r="G43" s="158"/>
      <c r="H43" s="161">
        <v>44691</v>
      </c>
      <c r="I43" s="158"/>
      <c r="J43" s="158" t="s">
        <v>218</v>
      </c>
      <c r="K43" s="158"/>
      <c r="L43" s="160" t="s">
        <v>250</v>
      </c>
      <c r="M43" s="158"/>
      <c r="N43" s="158" t="s">
        <v>79</v>
      </c>
      <c r="O43" s="158"/>
      <c r="P43" s="158" t="s">
        <v>166</v>
      </c>
      <c r="Q43" s="158"/>
      <c r="R43" s="158"/>
      <c r="S43" s="158"/>
      <c r="T43" s="159"/>
      <c r="U43" s="158"/>
      <c r="V43" s="158" t="s">
        <v>243</v>
      </c>
      <c r="W43" s="158"/>
      <c r="X43" s="157"/>
      <c r="Y43" s="158"/>
      <c r="Z43" s="157">
        <v>100000</v>
      </c>
      <c r="AA43" s="94"/>
      <c r="AB43" s="97">
        <v>-200000</v>
      </c>
    </row>
    <row r="44" spans="1:28">
      <c r="A44" s="94"/>
      <c r="B44" s="96"/>
      <c r="C44" s="96"/>
      <c r="D44" s="96"/>
      <c r="E44" s="96"/>
      <c r="F44" s="94" t="s">
        <v>46</v>
      </c>
      <c r="G44" s="94"/>
      <c r="H44" s="95">
        <v>44694</v>
      </c>
      <c r="I44" s="94"/>
      <c r="J44" s="94" t="s">
        <v>208</v>
      </c>
      <c r="K44" s="94"/>
      <c r="L44" s="152" t="s">
        <v>250</v>
      </c>
      <c r="M44" s="94"/>
      <c r="N44" s="94" t="s">
        <v>76</v>
      </c>
      <c r="O44" s="94"/>
      <c r="P44" s="94" t="s">
        <v>166</v>
      </c>
      <c r="Q44" s="94"/>
      <c r="R44" s="94" t="s">
        <v>242</v>
      </c>
      <c r="S44" s="94"/>
      <c r="T44" s="155"/>
      <c r="U44" s="94"/>
      <c r="V44" s="94" t="s">
        <v>241</v>
      </c>
      <c r="W44" s="94"/>
      <c r="X44" s="97">
        <v>321528.90000000002</v>
      </c>
      <c r="Y44" s="94"/>
      <c r="Z44" s="97"/>
      <c r="AA44" s="94"/>
      <c r="AB44" s="97">
        <v>121528.9</v>
      </c>
    </row>
    <row r="45" spans="1:28">
      <c r="A45" s="94"/>
      <c r="B45" s="96"/>
      <c r="C45" s="96"/>
      <c r="D45" s="96"/>
      <c r="E45" s="96"/>
      <c r="F45" s="94" t="s">
        <v>42</v>
      </c>
      <c r="G45" s="94"/>
      <c r="H45" s="95">
        <v>44728</v>
      </c>
      <c r="I45" s="94"/>
      <c r="J45" s="94" t="s">
        <v>217</v>
      </c>
      <c r="K45" s="94"/>
      <c r="L45" s="152" t="s">
        <v>250</v>
      </c>
      <c r="M45" s="94"/>
      <c r="N45" s="94" t="s">
        <v>254</v>
      </c>
      <c r="O45" s="94"/>
      <c r="P45" s="94" t="s">
        <v>166</v>
      </c>
      <c r="Q45" s="94"/>
      <c r="R45" s="94"/>
      <c r="S45" s="94"/>
      <c r="T45" s="155"/>
      <c r="U45" s="94"/>
      <c r="V45" s="94" t="s">
        <v>243</v>
      </c>
      <c r="W45" s="94"/>
      <c r="X45" s="97"/>
      <c r="Y45" s="94"/>
      <c r="Z45" s="97">
        <v>121528.9</v>
      </c>
      <c r="AA45" s="94"/>
      <c r="AB45" s="97">
        <v>0</v>
      </c>
    </row>
    <row r="46" spans="1:28">
      <c r="A46" s="94"/>
      <c r="B46" s="96"/>
      <c r="C46" s="96"/>
      <c r="D46" s="96"/>
      <c r="E46" s="96"/>
      <c r="F46" s="94" t="s">
        <v>46</v>
      </c>
      <c r="G46" s="94"/>
      <c r="H46" s="95">
        <v>44732</v>
      </c>
      <c r="I46" s="94"/>
      <c r="J46" s="94" t="s">
        <v>206</v>
      </c>
      <c r="K46" s="94"/>
      <c r="L46" s="152" t="s">
        <v>250</v>
      </c>
      <c r="M46" s="94"/>
      <c r="N46" s="94" t="s">
        <v>69</v>
      </c>
      <c r="O46" s="94"/>
      <c r="P46" s="94" t="s">
        <v>166</v>
      </c>
      <c r="Q46" s="94"/>
      <c r="R46" s="94" t="s">
        <v>242</v>
      </c>
      <c r="S46" s="94"/>
      <c r="T46" s="155"/>
      <c r="U46" s="94"/>
      <c r="V46" s="94" t="s">
        <v>241</v>
      </c>
      <c r="W46" s="94"/>
      <c r="X46" s="97">
        <v>254806.86</v>
      </c>
      <c r="Y46" s="94"/>
      <c r="Z46" s="97"/>
      <c r="AA46" s="94"/>
      <c r="AB46" s="97">
        <v>254806.86</v>
      </c>
    </row>
    <row r="47" spans="1:28">
      <c r="A47" s="94"/>
      <c r="B47" s="96"/>
      <c r="C47" s="96"/>
      <c r="D47" s="96"/>
      <c r="E47" s="96"/>
      <c r="F47" s="94" t="s">
        <v>42</v>
      </c>
      <c r="G47" s="94"/>
      <c r="H47" s="95">
        <v>44762</v>
      </c>
      <c r="I47" s="94"/>
      <c r="J47" s="94" t="s">
        <v>215</v>
      </c>
      <c r="K47" s="94"/>
      <c r="L47" s="152" t="s">
        <v>250</v>
      </c>
      <c r="M47" s="94"/>
      <c r="N47" s="94" t="s">
        <v>253</v>
      </c>
      <c r="O47" s="94"/>
      <c r="P47" s="94" t="s">
        <v>166</v>
      </c>
      <c r="Q47" s="94"/>
      <c r="R47" s="94"/>
      <c r="S47" s="94"/>
      <c r="T47" s="155"/>
      <c r="U47" s="94"/>
      <c r="V47" s="94" t="s">
        <v>243</v>
      </c>
      <c r="W47" s="94"/>
      <c r="X47" s="97"/>
      <c r="Y47" s="94"/>
      <c r="Z47" s="97">
        <v>254806.86</v>
      </c>
      <c r="AA47" s="94"/>
      <c r="AB47" s="97">
        <v>0</v>
      </c>
    </row>
    <row r="48" spans="1:28">
      <c r="A48" s="94"/>
      <c r="B48" s="96"/>
      <c r="C48" s="96"/>
      <c r="D48" s="96"/>
      <c r="E48" s="96"/>
      <c r="F48" s="94" t="s">
        <v>46</v>
      </c>
      <c r="G48" s="94"/>
      <c r="H48" s="95">
        <v>44782</v>
      </c>
      <c r="I48" s="94"/>
      <c r="J48" s="94" t="s">
        <v>204</v>
      </c>
      <c r="K48" s="94"/>
      <c r="L48" s="152" t="s">
        <v>250</v>
      </c>
      <c r="M48" s="94"/>
      <c r="N48" s="94" t="s">
        <v>60</v>
      </c>
      <c r="O48" s="94"/>
      <c r="P48" s="94" t="s">
        <v>166</v>
      </c>
      <c r="Q48" s="94"/>
      <c r="R48" s="94" t="s">
        <v>242</v>
      </c>
      <c r="S48" s="94"/>
      <c r="T48" s="155"/>
      <c r="U48" s="94"/>
      <c r="V48" s="94" t="s">
        <v>241</v>
      </c>
      <c r="W48" s="94"/>
      <c r="X48" s="97">
        <v>380127.67</v>
      </c>
      <c r="Y48" s="94"/>
      <c r="Z48" s="97"/>
      <c r="AA48" s="94"/>
      <c r="AB48" s="97">
        <v>380127.67</v>
      </c>
    </row>
    <row r="49" spans="1:28">
      <c r="A49" s="94"/>
      <c r="B49" s="96"/>
      <c r="C49" s="96"/>
      <c r="D49" s="96"/>
      <c r="E49" s="96"/>
      <c r="F49" s="94" t="s">
        <v>46</v>
      </c>
      <c r="G49" s="94"/>
      <c r="H49" s="95">
        <v>44819</v>
      </c>
      <c r="I49" s="94"/>
      <c r="J49" s="94" t="s">
        <v>200</v>
      </c>
      <c r="K49" s="94"/>
      <c r="L49" s="152" t="s">
        <v>250</v>
      </c>
      <c r="M49" s="94"/>
      <c r="N49" s="94" t="s">
        <v>56</v>
      </c>
      <c r="O49" s="94"/>
      <c r="P49" s="94" t="s">
        <v>166</v>
      </c>
      <c r="Q49" s="94"/>
      <c r="R49" s="94" t="s">
        <v>242</v>
      </c>
      <c r="S49" s="94"/>
      <c r="T49" s="155"/>
      <c r="U49" s="94"/>
      <c r="V49" s="94" t="s">
        <v>241</v>
      </c>
      <c r="W49" s="94"/>
      <c r="X49" s="97">
        <v>294906.21999999997</v>
      </c>
      <c r="Y49" s="94"/>
      <c r="Z49" s="97"/>
      <c r="AA49" s="94"/>
      <c r="AB49" s="97">
        <v>675033.89</v>
      </c>
    </row>
    <row r="50" spans="1:28">
      <c r="A50" s="94"/>
      <c r="B50" s="96"/>
      <c r="C50" s="96"/>
      <c r="D50" s="96"/>
      <c r="E50" s="96"/>
      <c r="F50" s="94" t="s">
        <v>42</v>
      </c>
      <c r="G50" s="94"/>
      <c r="H50" s="95">
        <v>44819</v>
      </c>
      <c r="I50" s="94"/>
      <c r="J50" s="94" t="s">
        <v>209</v>
      </c>
      <c r="K50" s="94"/>
      <c r="L50" s="152" t="s">
        <v>250</v>
      </c>
      <c r="M50" s="94"/>
      <c r="N50" s="94" t="s">
        <v>55</v>
      </c>
      <c r="O50" s="94"/>
      <c r="P50" s="94" t="s">
        <v>166</v>
      </c>
      <c r="Q50" s="94"/>
      <c r="R50" s="94"/>
      <c r="S50" s="94"/>
      <c r="T50" s="155"/>
      <c r="U50" s="94"/>
      <c r="V50" s="94" t="s">
        <v>241</v>
      </c>
      <c r="W50" s="94"/>
      <c r="X50" s="97">
        <v>156421.21</v>
      </c>
      <c r="Y50" s="94"/>
      <c r="Z50" s="97"/>
      <c r="AA50" s="94"/>
      <c r="AB50" s="97">
        <v>831455.1</v>
      </c>
    </row>
    <row r="51" spans="1:28">
      <c r="A51" s="94"/>
      <c r="B51" s="96"/>
      <c r="C51" s="96"/>
      <c r="D51" s="96"/>
      <c r="E51" s="96"/>
      <c r="F51" s="94" t="s">
        <v>42</v>
      </c>
      <c r="G51" s="94"/>
      <c r="H51" s="95">
        <v>44832</v>
      </c>
      <c r="I51" s="94"/>
      <c r="J51" s="94" t="s">
        <v>213</v>
      </c>
      <c r="K51" s="94"/>
      <c r="L51" s="152" t="s">
        <v>250</v>
      </c>
      <c r="M51" s="94"/>
      <c r="N51" s="94" t="s">
        <v>252</v>
      </c>
      <c r="O51" s="94"/>
      <c r="P51" s="94" t="s">
        <v>166</v>
      </c>
      <c r="Q51" s="94"/>
      <c r="R51" s="94"/>
      <c r="S51" s="94"/>
      <c r="T51" s="155"/>
      <c r="U51" s="94"/>
      <c r="V51" s="94" t="s">
        <v>243</v>
      </c>
      <c r="W51" s="94"/>
      <c r="X51" s="97"/>
      <c r="Y51" s="94"/>
      <c r="Z51" s="97">
        <v>380127.67</v>
      </c>
      <c r="AA51" s="94"/>
      <c r="AB51" s="97">
        <v>451327.43</v>
      </c>
    </row>
    <row r="52" spans="1:28">
      <c r="A52" s="94"/>
      <c r="B52" s="96"/>
      <c r="C52" s="96"/>
      <c r="D52" s="96"/>
      <c r="E52" s="96"/>
      <c r="F52" s="94" t="s">
        <v>42</v>
      </c>
      <c r="G52" s="94"/>
      <c r="H52" s="95">
        <v>44866</v>
      </c>
      <c r="I52" s="94"/>
      <c r="J52" s="94" t="s">
        <v>211</v>
      </c>
      <c r="K52" s="94"/>
      <c r="L52" s="152" t="s">
        <v>250</v>
      </c>
      <c r="M52" s="94"/>
      <c r="N52" s="94" t="s">
        <v>251</v>
      </c>
      <c r="O52" s="94"/>
      <c r="P52" s="94" t="s">
        <v>166</v>
      </c>
      <c r="Q52" s="94"/>
      <c r="R52" s="94"/>
      <c r="S52" s="94"/>
      <c r="T52" s="155"/>
      <c r="U52" s="94"/>
      <c r="V52" s="94" t="s">
        <v>243</v>
      </c>
      <c r="W52" s="94"/>
      <c r="X52" s="97"/>
      <c r="Y52" s="94"/>
      <c r="Z52" s="97">
        <v>450248.65</v>
      </c>
      <c r="AA52" s="94"/>
      <c r="AB52" s="97">
        <v>1078.78</v>
      </c>
    </row>
    <row r="53" spans="1:28" ht="15.75" thickBot="1">
      <c r="A53" s="94"/>
      <c r="B53" s="96"/>
      <c r="C53" s="96"/>
      <c r="D53" s="96"/>
      <c r="E53" s="96"/>
      <c r="F53" s="94" t="s">
        <v>80</v>
      </c>
      <c r="G53" s="94"/>
      <c r="H53" s="95">
        <v>45061</v>
      </c>
      <c r="I53" s="94"/>
      <c r="J53" s="94" t="s">
        <v>152</v>
      </c>
      <c r="K53" s="94"/>
      <c r="L53" s="152" t="s">
        <v>250</v>
      </c>
      <c r="M53" s="94"/>
      <c r="N53" s="94" t="s">
        <v>151</v>
      </c>
      <c r="O53" s="94"/>
      <c r="P53" s="94" t="s">
        <v>166</v>
      </c>
      <c r="Q53" s="94"/>
      <c r="R53" s="94"/>
      <c r="S53" s="94"/>
      <c r="T53" s="155"/>
      <c r="U53" s="94"/>
      <c r="V53" s="94" t="s">
        <v>239</v>
      </c>
      <c r="W53" s="94"/>
      <c r="X53" s="99"/>
      <c r="Y53" s="94"/>
      <c r="Z53" s="99">
        <v>1078.78</v>
      </c>
      <c r="AA53" s="94"/>
      <c r="AB53" s="99">
        <v>0</v>
      </c>
    </row>
    <row r="54" spans="1:28" s="153" customFormat="1">
      <c r="A54" s="92"/>
      <c r="B54" s="92"/>
      <c r="C54" s="92" t="s">
        <v>249</v>
      </c>
      <c r="D54" s="92"/>
      <c r="E54" s="92"/>
      <c r="F54" s="92"/>
      <c r="G54" s="92"/>
      <c r="H54" s="150"/>
      <c r="I54" s="92"/>
      <c r="J54" s="92"/>
      <c r="K54" s="92"/>
      <c r="L54" s="149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148">
        <f>ROUND(SUM(X41:X53),5)</f>
        <v>1407790.86</v>
      </c>
      <c r="Y54" s="92"/>
      <c r="Z54" s="148">
        <f>ROUND(SUM(Z41:Z53),5)</f>
        <v>1407790.86</v>
      </c>
      <c r="AA54" s="92"/>
      <c r="AB54" s="148">
        <f>AB53</f>
        <v>0</v>
      </c>
    </row>
    <row r="55" spans="1:28">
      <c r="A55" s="90"/>
      <c r="B55" s="92"/>
      <c r="C55" s="92" t="s">
        <v>248</v>
      </c>
      <c r="D55" s="92"/>
      <c r="E55" s="92"/>
      <c r="F55" s="90"/>
      <c r="G55" s="90"/>
      <c r="H55" s="91"/>
      <c r="I55" s="90"/>
      <c r="J55" s="90"/>
      <c r="K55" s="90"/>
      <c r="L55" s="156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8"/>
      <c r="Y55" s="90"/>
      <c r="Z55" s="98"/>
      <c r="AA55" s="90"/>
      <c r="AB55" s="98"/>
    </row>
    <row r="56" spans="1:28">
      <c r="A56" s="94"/>
      <c r="B56" s="96"/>
      <c r="C56" s="96"/>
      <c r="D56" s="96"/>
      <c r="E56" s="96"/>
      <c r="F56" s="94" t="s">
        <v>46</v>
      </c>
      <c r="G56" s="94"/>
      <c r="H56" s="95">
        <v>44694</v>
      </c>
      <c r="I56" s="94"/>
      <c r="J56" s="94" t="s">
        <v>226</v>
      </c>
      <c r="K56" s="94"/>
      <c r="L56" s="152" t="s">
        <v>240</v>
      </c>
      <c r="M56" s="94"/>
      <c r="N56" s="94" t="s">
        <v>75</v>
      </c>
      <c r="O56" s="94"/>
      <c r="P56" s="94" t="s">
        <v>166</v>
      </c>
      <c r="Q56" s="94"/>
      <c r="R56" s="94" t="s">
        <v>242</v>
      </c>
      <c r="S56" s="94"/>
      <c r="T56" s="155"/>
      <c r="U56" s="94"/>
      <c r="V56" s="94" t="s">
        <v>241</v>
      </c>
      <c r="W56" s="94"/>
      <c r="X56" s="97">
        <v>176470.56</v>
      </c>
      <c r="Y56" s="94"/>
      <c r="Z56" s="97"/>
      <c r="AA56" s="94"/>
      <c r="AB56" s="97">
        <v>176470.56</v>
      </c>
    </row>
    <row r="57" spans="1:28">
      <c r="A57" s="94"/>
      <c r="B57" s="96"/>
      <c r="C57" s="96"/>
      <c r="D57" s="96"/>
      <c r="E57" s="96"/>
      <c r="F57" s="94" t="s">
        <v>42</v>
      </c>
      <c r="G57" s="94"/>
      <c r="H57" s="95">
        <v>44728</v>
      </c>
      <c r="I57" s="94"/>
      <c r="J57" s="94" t="s">
        <v>234</v>
      </c>
      <c r="K57" s="94"/>
      <c r="L57" s="152" t="s">
        <v>240</v>
      </c>
      <c r="M57" s="94"/>
      <c r="N57" s="94" t="s">
        <v>247</v>
      </c>
      <c r="O57" s="94"/>
      <c r="P57" s="94" t="s">
        <v>166</v>
      </c>
      <c r="Q57" s="94"/>
      <c r="R57" s="94"/>
      <c r="S57" s="94"/>
      <c r="T57" s="155"/>
      <c r="U57" s="94"/>
      <c r="V57" s="94" t="s">
        <v>243</v>
      </c>
      <c r="W57" s="94"/>
      <c r="X57" s="97"/>
      <c r="Y57" s="94"/>
      <c r="Z57" s="97">
        <v>176470.56</v>
      </c>
      <c r="AA57" s="94"/>
      <c r="AB57" s="97">
        <v>0</v>
      </c>
    </row>
    <row r="58" spans="1:28">
      <c r="A58" s="94"/>
      <c r="B58" s="96"/>
      <c r="C58" s="96"/>
      <c r="D58" s="96"/>
      <c r="E58" s="96"/>
      <c r="F58" s="94" t="s">
        <v>46</v>
      </c>
      <c r="G58" s="94"/>
      <c r="H58" s="95">
        <v>44732</v>
      </c>
      <c r="I58" s="94"/>
      <c r="J58" s="94" t="s">
        <v>225</v>
      </c>
      <c r="K58" s="94"/>
      <c r="L58" s="152" t="s">
        <v>240</v>
      </c>
      <c r="M58" s="94"/>
      <c r="N58" s="94" t="s">
        <v>68</v>
      </c>
      <c r="O58" s="94"/>
      <c r="P58" s="94" t="s">
        <v>166</v>
      </c>
      <c r="Q58" s="94"/>
      <c r="R58" s="94" t="s">
        <v>242</v>
      </c>
      <c r="S58" s="94"/>
      <c r="T58" s="155"/>
      <c r="U58" s="94"/>
      <c r="V58" s="94" t="s">
        <v>241</v>
      </c>
      <c r="W58" s="94"/>
      <c r="X58" s="97">
        <v>243571.44</v>
      </c>
      <c r="Y58" s="94"/>
      <c r="Z58" s="97"/>
      <c r="AA58" s="94"/>
      <c r="AB58" s="97">
        <v>243571.44</v>
      </c>
    </row>
    <row r="59" spans="1:28">
      <c r="A59" s="94"/>
      <c r="B59" s="96"/>
      <c r="C59" s="96"/>
      <c r="D59" s="96"/>
      <c r="E59" s="96"/>
      <c r="F59" s="94" t="s">
        <v>42</v>
      </c>
      <c r="G59" s="94"/>
      <c r="H59" s="95">
        <v>44762</v>
      </c>
      <c r="I59" s="94"/>
      <c r="J59" s="94" t="s">
        <v>232</v>
      </c>
      <c r="K59" s="94"/>
      <c r="L59" s="152" t="s">
        <v>240</v>
      </c>
      <c r="M59" s="94"/>
      <c r="N59" s="94" t="s">
        <v>246</v>
      </c>
      <c r="O59" s="94"/>
      <c r="P59" s="94" t="s">
        <v>166</v>
      </c>
      <c r="Q59" s="94"/>
      <c r="R59" s="94"/>
      <c r="S59" s="94"/>
      <c r="T59" s="155"/>
      <c r="U59" s="94"/>
      <c r="V59" s="94" t="s">
        <v>243</v>
      </c>
      <c r="W59" s="94"/>
      <c r="X59" s="97"/>
      <c r="Y59" s="94"/>
      <c r="Z59" s="97">
        <v>243571.44</v>
      </c>
      <c r="AA59" s="94"/>
      <c r="AB59" s="97">
        <v>0</v>
      </c>
    </row>
    <row r="60" spans="1:28">
      <c r="A60" s="94"/>
      <c r="B60" s="96"/>
      <c r="C60" s="96"/>
      <c r="D60" s="96"/>
      <c r="E60" s="96"/>
      <c r="F60" s="94" t="s">
        <v>46</v>
      </c>
      <c r="G60" s="94"/>
      <c r="H60" s="95">
        <v>44775</v>
      </c>
      <c r="I60" s="94"/>
      <c r="J60" s="94" t="s">
        <v>223</v>
      </c>
      <c r="K60" s="94"/>
      <c r="L60" s="152" t="s">
        <v>240</v>
      </c>
      <c r="M60" s="94"/>
      <c r="N60" s="94" t="s">
        <v>61</v>
      </c>
      <c r="O60" s="94"/>
      <c r="P60" s="94" t="s">
        <v>166</v>
      </c>
      <c r="Q60" s="94"/>
      <c r="R60" s="94" t="s">
        <v>242</v>
      </c>
      <c r="S60" s="94"/>
      <c r="T60" s="155"/>
      <c r="U60" s="94"/>
      <c r="V60" s="94" t="s">
        <v>241</v>
      </c>
      <c r="W60" s="94"/>
      <c r="X60" s="97">
        <v>295742.78999999998</v>
      </c>
      <c r="Y60" s="94"/>
      <c r="Z60" s="97"/>
      <c r="AA60" s="94"/>
      <c r="AB60" s="97">
        <v>295742.78999999998</v>
      </c>
    </row>
    <row r="61" spans="1:28">
      <c r="A61" s="94"/>
      <c r="B61" s="96"/>
      <c r="C61" s="96"/>
      <c r="D61" s="96"/>
      <c r="E61" s="96"/>
      <c r="F61" s="94" t="s">
        <v>46</v>
      </c>
      <c r="G61" s="94"/>
      <c r="H61" s="95">
        <v>44795</v>
      </c>
      <c r="I61" s="94"/>
      <c r="J61" s="94" t="s">
        <v>221</v>
      </c>
      <c r="K61" s="94"/>
      <c r="L61" s="152" t="s">
        <v>240</v>
      </c>
      <c r="M61" s="94"/>
      <c r="N61" s="94" t="s">
        <v>59</v>
      </c>
      <c r="O61" s="94"/>
      <c r="P61" s="94" t="s">
        <v>166</v>
      </c>
      <c r="Q61" s="94"/>
      <c r="R61" s="94" t="s">
        <v>242</v>
      </c>
      <c r="S61" s="94"/>
      <c r="T61" s="155"/>
      <c r="U61" s="94"/>
      <c r="V61" s="94" t="s">
        <v>241</v>
      </c>
      <c r="W61" s="94"/>
      <c r="X61" s="97">
        <v>129546.51</v>
      </c>
      <c r="Y61" s="94"/>
      <c r="Z61" s="97"/>
      <c r="AA61" s="94"/>
      <c r="AB61" s="97">
        <v>425289.3</v>
      </c>
    </row>
    <row r="62" spans="1:28">
      <c r="A62" s="94"/>
      <c r="B62" s="96"/>
      <c r="C62" s="96"/>
      <c r="D62" s="96"/>
      <c r="E62" s="96"/>
      <c r="F62" s="94" t="s">
        <v>42</v>
      </c>
      <c r="G62" s="94"/>
      <c r="H62" s="95">
        <v>44813</v>
      </c>
      <c r="I62" s="94"/>
      <c r="J62" s="94" t="s">
        <v>230</v>
      </c>
      <c r="K62" s="94"/>
      <c r="L62" s="152" t="s">
        <v>240</v>
      </c>
      <c r="M62" s="94"/>
      <c r="N62" s="94" t="s">
        <v>245</v>
      </c>
      <c r="O62" s="94"/>
      <c r="P62" s="94" t="s">
        <v>166</v>
      </c>
      <c r="Q62" s="94"/>
      <c r="R62" s="94"/>
      <c r="S62" s="94"/>
      <c r="T62" s="155"/>
      <c r="U62" s="94"/>
      <c r="V62" s="94" t="s">
        <v>243</v>
      </c>
      <c r="W62" s="94"/>
      <c r="X62" s="97"/>
      <c r="Y62" s="94"/>
      <c r="Z62" s="97">
        <v>295742.78999999998</v>
      </c>
      <c r="AA62" s="94"/>
      <c r="AB62" s="97">
        <v>129546.51</v>
      </c>
    </row>
    <row r="63" spans="1:28">
      <c r="A63" s="94"/>
      <c r="B63" s="96"/>
      <c r="C63" s="96"/>
      <c r="D63" s="96"/>
      <c r="E63" s="96"/>
      <c r="F63" s="94" t="s">
        <v>42</v>
      </c>
      <c r="G63" s="94"/>
      <c r="H63" s="95">
        <v>44832</v>
      </c>
      <c r="I63" s="94"/>
      <c r="J63" s="94" t="s">
        <v>228</v>
      </c>
      <c r="K63" s="94"/>
      <c r="L63" s="152" t="s">
        <v>240</v>
      </c>
      <c r="M63" s="94"/>
      <c r="N63" s="94" t="s">
        <v>244</v>
      </c>
      <c r="O63" s="94"/>
      <c r="P63" s="94" t="s">
        <v>166</v>
      </c>
      <c r="Q63" s="94"/>
      <c r="R63" s="94"/>
      <c r="S63" s="94"/>
      <c r="T63" s="155"/>
      <c r="U63" s="94"/>
      <c r="V63" s="94" t="s">
        <v>243</v>
      </c>
      <c r="W63" s="94"/>
      <c r="X63" s="97"/>
      <c r="Y63" s="94"/>
      <c r="Z63" s="97">
        <v>129546.51</v>
      </c>
      <c r="AA63" s="94"/>
      <c r="AB63" s="97">
        <v>0</v>
      </c>
    </row>
    <row r="64" spans="1:28">
      <c r="A64" s="94"/>
      <c r="B64" s="96"/>
      <c r="C64" s="96"/>
      <c r="D64" s="96"/>
      <c r="E64" s="96"/>
      <c r="F64" s="94" t="s">
        <v>46</v>
      </c>
      <c r="G64" s="94"/>
      <c r="H64" s="95">
        <v>44905</v>
      </c>
      <c r="I64" s="94"/>
      <c r="J64" s="94" t="s">
        <v>224</v>
      </c>
      <c r="K64" s="94"/>
      <c r="L64" s="152" t="s">
        <v>240</v>
      </c>
      <c r="M64" s="94"/>
      <c r="N64" s="94" t="s">
        <v>49</v>
      </c>
      <c r="O64" s="94"/>
      <c r="P64" s="94" t="s">
        <v>166</v>
      </c>
      <c r="Q64" s="94"/>
      <c r="R64" s="94" t="s">
        <v>242</v>
      </c>
      <c r="S64" s="94"/>
      <c r="T64" s="155"/>
      <c r="U64" s="94"/>
      <c r="V64" s="94" t="s">
        <v>241</v>
      </c>
      <c r="W64" s="94"/>
      <c r="X64" s="97">
        <v>227509.3</v>
      </c>
      <c r="Y64" s="94"/>
      <c r="Z64" s="97"/>
      <c r="AA64" s="94"/>
      <c r="AB64" s="97">
        <v>227509.3</v>
      </c>
    </row>
    <row r="65" spans="1:28" ht="15.75" thickBot="1">
      <c r="A65" s="94"/>
      <c r="B65" s="96"/>
      <c r="C65" s="96"/>
      <c r="D65" s="96"/>
      <c r="E65" s="96"/>
      <c r="F65" s="94" t="s">
        <v>80</v>
      </c>
      <c r="G65" s="94"/>
      <c r="H65" s="95">
        <v>45061</v>
      </c>
      <c r="I65" s="94"/>
      <c r="J65" s="94" t="s">
        <v>152</v>
      </c>
      <c r="K65" s="94"/>
      <c r="L65" s="152" t="s">
        <v>240</v>
      </c>
      <c r="M65" s="94"/>
      <c r="N65" s="94" t="s">
        <v>151</v>
      </c>
      <c r="O65" s="94"/>
      <c r="P65" s="94" t="s">
        <v>166</v>
      </c>
      <c r="Q65" s="94"/>
      <c r="R65" s="94"/>
      <c r="S65" s="94"/>
      <c r="T65" s="155"/>
      <c r="U65" s="94"/>
      <c r="V65" s="94" t="s">
        <v>239</v>
      </c>
      <c r="W65" s="94"/>
      <c r="X65" s="97"/>
      <c r="Y65" s="94"/>
      <c r="Z65" s="97">
        <v>227509.3</v>
      </c>
      <c r="AA65" s="94"/>
      <c r="AB65" s="97">
        <v>0</v>
      </c>
    </row>
    <row r="66" spans="1:28" s="153" customFormat="1" ht="15.75" thickBot="1">
      <c r="A66" s="92"/>
      <c r="B66" s="92"/>
      <c r="C66" s="92" t="s">
        <v>238</v>
      </c>
      <c r="D66" s="92"/>
      <c r="E66" s="92"/>
      <c r="F66" s="92"/>
      <c r="G66" s="92"/>
      <c r="H66" s="150"/>
      <c r="I66" s="92"/>
      <c r="J66" s="92"/>
      <c r="K66" s="92"/>
      <c r="L66" s="149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154">
        <f>ROUND(SUM(X55:X65),5)</f>
        <v>1072840.6000000001</v>
      </c>
      <c r="Y66" s="92"/>
      <c r="Z66" s="154">
        <f>ROUND(SUM(Z55:Z65),5)</f>
        <v>1072840.6000000001</v>
      </c>
      <c r="AA66" s="92"/>
      <c r="AB66" s="154">
        <f>AB65</f>
        <v>0</v>
      </c>
    </row>
    <row r="67" spans="1:28" ht="15.75" thickBot="1">
      <c r="A67" s="94"/>
      <c r="B67" s="96" t="s">
        <v>237</v>
      </c>
      <c r="C67" s="96"/>
      <c r="D67" s="96"/>
      <c r="E67" s="96"/>
      <c r="F67" s="94"/>
      <c r="G67" s="94"/>
      <c r="H67" s="95"/>
      <c r="I67" s="94"/>
      <c r="J67" s="94"/>
      <c r="K67" s="94"/>
      <c r="L67" s="152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3">
        <f>ROUND(X21+X40+X54+X66,5)</f>
        <v>6097341.4699999997</v>
      </c>
      <c r="Y67" s="94"/>
      <c r="Z67" s="93">
        <f>ROUND(Z21+Z40+Z54+Z66,5)</f>
        <v>5701625.2699999996</v>
      </c>
      <c r="AA67" s="94"/>
      <c r="AB67" s="93">
        <f>ROUND(AB21+AB40+AB54+AB66,5)</f>
        <v>395716.2</v>
      </c>
    </row>
    <row r="68" spans="1:28" s="147" customFormat="1" ht="13.5" thickBot="1">
      <c r="A68" s="92" t="s">
        <v>121</v>
      </c>
      <c r="B68" s="92"/>
      <c r="C68" s="92"/>
      <c r="D68" s="92"/>
      <c r="E68" s="92"/>
      <c r="F68" s="92"/>
      <c r="G68" s="92"/>
      <c r="H68" s="150"/>
      <c r="I68" s="92"/>
      <c r="J68" s="92"/>
      <c r="K68" s="92"/>
      <c r="L68" s="149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151">
        <f>X67</f>
        <v>6097341.4699999997</v>
      </c>
      <c r="Y68" s="92"/>
      <c r="Z68" s="151">
        <f>Z67</f>
        <v>5701625.2699999996</v>
      </c>
      <c r="AA68" s="92"/>
      <c r="AB68" s="151">
        <f>AB67</f>
        <v>395716.2</v>
      </c>
    </row>
    <row r="69" spans="1:28" s="147" customFormat="1" ht="13.5" thickTop="1">
      <c r="A69" s="92"/>
      <c r="B69" s="92"/>
      <c r="C69" s="92"/>
      <c r="D69" s="92"/>
      <c r="E69" s="92"/>
      <c r="F69" s="92"/>
      <c r="G69" s="92"/>
      <c r="H69" s="150"/>
      <c r="I69" s="92"/>
      <c r="J69" s="92"/>
      <c r="K69" s="92"/>
      <c r="L69" s="149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148"/>
      <c r="Y69" s="92"/>
      <c r="Z69" s="148"/>
      <c r="AA69" s="92"/>
      <c r="AB69" s="148"/>
    </row>
    <row r="70" spans="1:28" s="147" customFormat="1" ht="12.75">
      <c r="A70" s="92"/>
      <c r="B70" s="92"/>
      <c r="C70" s="92"/>
      <c r="D70" s="92"/>
      <c r="E70" s="92"/>
      <c r="F70" s="92"/>
      <c r="G70" s="92"/>
      <c r="H70" s="150"/>
      <c r="I70" s="92"/>
      <c r="J70" s="92"/>
      <c r="K70" s="92"/>
      <c r="L70" s="149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148"/>
      <c r="Y70" s="92"/>
      <c r="Z70" s="148"/>
      <c r="AA70" s="92"/>
      <c r="AB70" s="148"/>
    </row>
    <row r="71" spans="1:28">
      <c r="N71" s="199" t="s">
        <v>281</v>
      </c>
      <c r="Z71" s="200">
        <f>SUM(Z5:Z6,Z9,Z17:Z18)</f>
        <v>700000</v>
      </c>
    </row>
    <row r="72" spans="1:28">
      <c r="N72" s="146" t="s">
        <v>38</v>
      </c>
      <c r="Z72" s="201">
        <f>SUM(Z42:Z43)</f>
        <v>200000</v>
      </c>
    </row>
    <row r="73" spans="1:28">
      <c r="N73" s="202" t="s">
        <v>37</v>
      </c>
      <c r="Z73" s="203">
        <f>SUM(Z11,Z13,Z15,Z24,Z26,Z28,Z31,Z32,Z45,Z47,Z51,Z52,Z57,Z59,Z62,Z63)</f>
        <v>3260450.1899999995</v>
      </c>
    </row>
    <row r="74" spans="1:28">
      <c r="N74" s="205" t="s">
        <v>282</v>
      </c>
      <c r="Z74" s="206">
        <f>SUM(Z19,Z35,Z53,Z65)</f>
        <v>851325.08000000007</v>
      </c>
    </row>
    <row r="75" spans="1:28" ht="15.75" thickBot="1">
      <c r="N75" s="207" t="s">
        <v>283</v>
      </c>
      <c r="Z75" s="208">
        <f>SUM(Z34)</f>
        <v>689850</v>
      </c>
    </row>
    <row r="76" spans="1:28" ht="16.5" thickBot="1">
      <c r="N76" s="167" t="s">
        <v>12</v>
      </c>
      <c r="Z76" s="204">
        <f>SUM(Z71:Z75)</f>
        <v>5701625.2699999996</v>
      </c>
      <c r="AB76" s="145">
        <f>Z76-Z68</f>
        <v>0</v>
      </c>
    </row>
  </sheetData>
  <autoFilter ref="C3:AB68"/>
  <pageMargins left="0.7" right="0.7" top="0.75" bottom="0.75" header="0.1" footer="0.3"/>
  <pageSetup orientation="portrait" r:id="rId1"/>
  <headerFooter>
    <oddHeader>&amp;L&amp;"Arial,Bold"&amp;10 10:28 AM
&amp;"Arial,Bold"&amp;10 08-01-23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ignoredErrors>
    <ignoredError sqref="Z71" formulaRange="1"/>
  </ignoredErrors>
  <drawing r:id="rId2"/>
  <legacyDrawing r:id="rId3"/>
  <controls>
    <mc:AlternateContent xmlns:mc="http://schemas.openxmlformats.org/markup-compatibility/2006">
      <mc:Choice Requires="x14">
        <control shapeId="9218" r:id="rId4" name="HEADER">
          <controlPr defaultSize="0" autoLin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200025</xdr:colOff>
                <xdr:row>3</xdr:row>
                <xdr:rowOff>28575</xdr:rowOff>
              </to>
            </anchor>
          </controlPr>
        </control>
      </mc:Choice>
      <mc:Fallback>
        <control shapeId="9218" r:id="rId4" name="HEADER"/>
      </mc:Fallback>
    </mc:AlternateContent>
    <mc:AlternateContent xmlns:mc="http://schemas.openxmlformats.org/markup-compatibility/2006">
      <mc:Choice Requires="x14">
        <control shapeId="9217" r:id="rId6" name="FILTER">
          <controlPr defaultSize="0" autoLin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200025</xdr:colOff>
                <xdr:row>3</xdr:row>
                <xdr:rowOff>28575</xdr:rowOff>
              </to>
            </anchor>
          </controlPr>
        </control>
      </mc:Choice>
      <mc:Fallback>
        <control shapeId="9217" r:id="rId6" name="FILTER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CBFDA9"/>
  </sheetPr>
  <dimension ref="A1:K60"/>
  <sheetViews>
    <sheetView workbookViewId="0">
      <pane xSplit="1" ySplit="2" topLeftCell="B25" activePane="bottomRight" state="frozenSplit"/>
      <selection pane="topRight" activeCell="B1" sqref="B1"/>
      <selection pane="bottomLeft" activeCell="A2" sqref="A2"/>
      <selection pane="bottomRight" activeCell="I48" sqref="I48"/>
    </sheetView>
  </sheetViews>
  <sheetFormatPr defaultRowHeight="14.25"/>
  <cols>
    <col min="1" max="1" width="5.5703125" style="3" bestFit="1" customWidth="1"/>
    <col min="2" max="2" width="15.7109375" style="3" bestFit="1" customWidth="1"/>
    <col min="3" max="3" width="11.28515625" style="3" bestFit="1" customWidth="1"/>
    <col min="4" max="4" width="7.7109375" style="38" customWidth="1"/>
    <col min="5" max="5" width="8.7109375" style="38" bestFit="1" customWidth="1"/>
    <col min="6" max="6" width="30.7109375" style="3" hidden="1" customWidth="1"/>
    <col min="7" max="7" width="63.28515625" style="3" customWidth="1"/>
    <col min="8" max="10" width="15.140625" style="37" customWidth="1"/>
    <col min="11" max="11" width="15.140625" style="3" customWidth="1"/>
    <col min="12" max="16384" width="9.140625" style="3"/>
  </cols>
  <sheetData>
    <row r="1" spans="1:11" ht="15" thickBot="1"/>
    <row r="2" spans="1:11" s="2" customFormat="1" ht="45" customHeight="1" thickBot="1">
      <c r="A2" s="36"/>
      <c r="B2" s="56" t="s">
        <v>97</v>
      </c>
      <c r="C2" s="56" t="s">
        <v>96</v>
      </c>
      <c r="D2" s="56" t="s">
        <v>95</v>
      </c>
      <c r="E2" s="56" t="s">
        <v>94</v>
      </c>
      <c r="F2" s="56" t="s">
        <v>93</v>
      </c>
      <c r="G2" s="56" t="s">
        <v>92</v>
      </c>
      <c r="H2" s="55" t="s">
        <v>91</v>
      </c>
      <c r="I2" s="55" t="s">
        <v>90</v>
      </c>
      <c r="J2" s="54" t="s">
        <v>31</v>
      </c>
      <c r="K2" s="54" t="s">
        <v>89</v>
      </c>
    </row>
    <row r="3" spans="1:11">
      <c r="A3" s="49"/>
      <c r="B3" s="49" t="s">
        <v>80</v>
      </c>
      <c r="C3" s="52">
        <v>44595</v>
      </c>
      <c r="D3" s="50" t="s">
        <v>88</v>
      </c>
      <c r="E3" s="50"/>
      <c r="F3" s="49" t="s">
        <v>44</v>
      </c>
      <c r="G3" s="49" t="s">
        <v>87</v>
      </c>
      <c r="H3" s="41"/>
      <c r="I3" s="41">
        <v>250000</v>
      </c>
      <c r="J3" s="41">
        <v>-250000</v>
      </c>
    </row>
    <row r="4" spans="1:11">
      <c r="A4" s="49"/>
      <c r="B4" s="49" t="s">
        <v>80</v>
      </c>
      <c r="C4" s="52">
        <v>44625</v>
      </c>
      <c r="D4" s="50" t="s">
        <v>86</v>
      </c>
      <c r="E4" s="50"/>
      <c r="F4" s="49" t="s">
        <v>44</v>
      </c>
      <c r="G4" s="49" t="s">
        <v>85</v>
      </c>
      <c r="H4" s="41"/>
      <c r="I4" s="41">
        <v>100000</v>
      </c>
      <c r="J4" s="41">
        <v>-350000</v>
      </c>
    </row>
    <row r="5" spans="1:11">
      <c r="A5" s="49"/>
      <c r="B5" s="49" t="s">
        <v>46</v>
      </c>
      <c r="C5" s="52">
        <v>44653</v>
      </c>
      <c r="D5" s="51">
        <v>14774</v>
      </c>
      <c r="E5" s="51">
        <v>366</v>
      </c>
      <c r="F5" s="49" t="s">
        <v>44</v>
      </c>
      <c r="G5" s="49" t="s">
        <v>84</v>
      </c>
      <c r="H5" s="41">
        <v>212887.52</v>
      </c>
      <c r="I5" s="41"/>
      <c r="J5" s="41">
        <v>-137112.48000000001</v>
      </c>
    </row>
    <row r="6" spans="1:11">
      <c r="A6" s="49"/>
      <c r="B6" s="49" t="s">
        <v>46</v>
      </c>
      <c r="C6" s="52">
        <v>44658</v>
      </c>
      <c r="D6" s="51">
        <v>14775</v>
      </c>
      <c r="E6" s="51">
        <v>366</v>
      </c>
      <c r="F6" s="49" t="s">
        <v>44</v>
      </c>
      <c r="G6" s="49" t="s">
        <v>83</v>
      </c>
      <c r="H6" s="41">
        <v>94367.39</v>
      </c>
      <c r="I6" s="41"/>
      <c r="J6" s="41">
        <v>-42745.09</v>
      </c>
    </row>
    <row r="7" spans="1:11">
      <c r="A7" s="49"/>
      <c r="B7" s="49" t="s">
        <v>80</v>
      </c>
      <c r="C7" s="52">
        <v>44669</v>
      </c>
      <c r="D7" s="51">
        <v>9350</v>
      </c>
      <c r="E7" s="50"/>
      <c r="F7" s="49" t="s">
        <v>44</v>
      </c>
      <c r="G7" s="49" t="s">
        <v>82</v>
      </c>
      <c r="H7" s="41"/>
      <c r="I7" s="41">
        <v>50000</v>
      </c>
      <c r="J7" s="41">
        <v>-92745.09</v>
      </c>
    </row>
    <row r="8" spans="1:11">
      <c r="A8" s="49"/>
      <c r="B8" s="49" t="s">
        <v>80</v>
      </c>
      <c r="C8" s="52">
        <v>44678</v>
      </c>
      <c r="D8" s="51">
        <v>9295</v>
      </c>
      <c r="E8" s="50"/>
      <c r="F8" s="49" t="s">
        <v>52</v>
      </c>
      <c r="G8" s="49" t="s">
        <v>81</v>
      </c>
      <c r="H8" s="41"/>
      <c r="I8" s="41">
        <v>100000</v>
      </c>
      <c r="J8" s="41">
        <v>-192745.09</v>
      </c>
    </row>
    <row r="9" spans="1:11">
      <c r="A9" s="49"/>
      <c r="B9" s="49" t="s">
        <v>80</v>
      </c>
      <c r="C9" s="52">
        <v>44691</v>
      </c>
      <c r="D9" s="51">
        <v>9293</v>
      </c>
      <c r="E9" s="50"/>
      <c r="F9" s="49" t="s">
        <v>52</v>
      </c>
      <c r="G9" s="49" t="s">
        <v>79</v>
      </c>
      <c r="H9" s="41"/>
      <c r="I9" s="41">
        <v>100000</v>
      </c>
      <c r="J9" s="41">
        <v>-292745.09000000003</v>
      </c>
    </row>
    <row r="10" spans="1:11">
      <c r="A10" s="49"/>
      <c r="B10" s="49" t="s">
        <v>46</v>
      </c>
      <c r="C10" s="52">
        <v>44694</v>
      </c>
      <c r="D10" s="51">
        <v>14823</v>
      </c>
      <c r="E10" s="51">
        <v>366</v>
      </c>
      <c r="F10" s="49" t="s">
        <v>44</v>
      </c>
      <c r="G10" s="49" t="s">
        <v>78</v>
      </c>
      <c r="H10" s="41">
        <v>214895.35</v>
      </c>
      <c r="I10" s="41"/>
      <c r="J10" s="41">
        <v>-77849.740000000005</v>
      </c>
    </row>
    <row r="11" spans="1:11">
      <c r="A11" s="49"/>
      <c r="B11" s="49" t="s">
        <v>46</v>
      </c>
      <c r="C11" s="52">
        <v>44694</v>
      </c>
      <c r="D11" s="51">
        <v>14824</v>
      </c>
      <c r="E11" s="51">
        <v>373</v>
      </c>
      <c r="F11" s="49" t="s">
        <v>41</v>
      </c>
      <c r="G11" s="49" t="s">
        <v>77</v>
      </c>
      <c r="H11" s="41">
        <v>217067.76</v>
      </c>
      <c r="I11" s="41"/>
      <c r="J11" s="41">
        <v>139218.01999999999</v>
      </c>
    </row>
    <row r="12" spans="1:11">
      <c r="A12" s="49"/>
      <c r="B12" s="49" t="s">
        <v>46</v>
      </c>
      <c r="C12" s="52">
        <v>44694</v>
      </c>
      <c r="D12" s="51">
        <v>14825</v>
      </c>
      <c r="E12" s="51">
        <v>374</v>
      </c>
      <c r="F12" s="49" t="s">
        <v>52</v>
      </c>
      <c r="G12" s="49" t="s">
        <v>76</v>
      </c>
      <c r="H12" s="41">
        <v>321528.90000000002</v>
      </c>
      <c r="I12" s="41"/>
      <c r="J12" s="41">
        <v>460746.92</v>
      </c>
    </row>
    <row r="13" spans="1:11">
      <c r="A13" s="49"/>
      <c r="B13" s="49" t="s">
        <v>46</v>
      </c>
      <c r="C13" s="52">
        <v>44694</v>
      </c>
      <c r="D13" s="51">
        <v>14826</v>
      </c>
      <c r="E13" s="51">
        <v>375</v>
      </c>
      <c r="F13" s="49" t="s">
        <v>50</v>
      </c>
      <c r="G13" s="49" t="s">
        <v>75</v>
      </c>
      <c r="H13" s="41">
        <v>176470.56</v>
      </c>
      <c r="I13" s="41"/>
      <c r="J13" s="41">
        <v>637217.48</v>
      </c>
    </row>
    <row r="14" spans="1:11">
      <c r="A14" s="49"/>
      <c r="B14" s="49" t="s">
        <v>42</v>
      </c>
      <c r="C14" s="52">
        <v>44728</v>
      </c>
      <c r="D14" s="51">
        <v>5751</v>
      </c>
      <c r="E14" s="50"/>
      <c r="F14" s="49" t="s">
        <v>44</v>
      </c>
      <c r="G14" s="49" t="s">
        <v>74</v>
      </c>
      <c r="H14" s="41"/>
      <c r="I14" s="41">
        <v>122150.26</v>
      </c>
      <c r="J14" s="41">
        <v>515067.22</v>
      </c>
    </row>
    <row r="15" spans="1:11">
      <c r="A15" s="49"/>
      <c r="B15" s="49" t="s">
        <v>42</v>
      </c>
      <c r="C15" s="52">
        <v>44728</v>
      </c>
      <c r="D15" s="51">
        <v>5754</v>
      </c>
      <c r="E15" s="50"/>
      <c r="F15" s="49" t="s">
        <v>41</v>
      </c>
      <c r="G15" s="49" t="s">
        <v>73</v>
      </c>
      <c r="H15" s="41"/>
      <c r="I15" s="41">
        <v>217067.76</v>
      </c>
      <c r="J15" s="41">
        <v>297999.46000000002</v>
      </c>
    </row>
    <row r="16" spans="1:11">
      <c r="A16" s="49"/>
      <c r="B16" s="49" t="s">
        <v>42</v>
      </c>
      <c r="C16" s="52">
        <v>44728</v>
      </c>
      <c r="D16" s="51">
        <v>5757</v>
      </c>
      <c r="E16" s="50"/>
      <c r="F16" s="49" t="s">
        <v>52</v>
      </c>
      <c r="G16" s="49" t="s">
        <v>72</v>
      </c>
      <c r="H16" s="41"/>
      <c r="I16" s="41">
        <v>121528.9</v>
      </c>
      <c r="J16" s="41">
        <v>176470.56</v>
      </c>
    </row>
    <row r="17" spans="1:10">
      <c r="A17" s="49"/>
      <c r="B17" s="49" t="s">
        <v>42</v>
      </c>
      <c r="C17" s="52">
        <v>44728</v>
      </c>
      <c r="D17" s="51">
        <v>5759</v>
      </c>
      <c r="E17" s="50"/>
      <c r="F17" s="49" t="s">
        <v>50</v>
      </c>
      <c r="G17" s="49" t="s">
        <v>71</v>
      </c>
      <c r="H17" s="41"/>
      <c r="I17" s="41">
        <v>176470.56</v>
      </c>
      <c r="J17" s="41">
        <v>0</v>
      </c>
    </row>
    <row r="18" spans="1:10">
      <c r="A18" s="49"/>
      <c r="B18" s="49" t="s">
        <v>46</v>
      </c>
      <c r="C18" s="52">
        <v>44732</v>
      </c>
      <c r="D18" s="51">
        <v>14902</v>
      </c>
      <c r="E18" s="51">
        <v>373</v>
      </c>
      <c r="F18" s="49" t="s">
        <v>41</v>
      </c>
      <c r="G18" s="49" t="s">
        <v>70</v>
      </c>
      <c r="H18" s="41">
        <v>136753.68</v>
      </c>
      <c r="I18" s="41"/>
      <c r="J18" s="41">
        <v>136753.68</v>
      </c>
    </row>
    <row r="19" spans="1:10">
      <c r="A19" s="49"/>
      <c r="B19" s="49" t="s">
        <v>46</v>
      </c>
      <c r="C19" s="52">
        <v>44732</v>
      </c>
      <c r="D19" s="51">
        <v>14903</v>
      </c>
      <c r="E19" s="51">
        <v>374</v>
      </c>
      <c r="F19" s="49" t="s">
        <v>52</v>
      </c>
      <c r="G19" s="49" t="s">
        <v>69</v>
      </c>
      <c r="H19" s="41">
        <v>254806.86</v>
      </c>
      <c r="I19" s="41"/>
      <c r="J19" s="41">
        <v>391560.54</v>
      </c>
    </row>
    <row r="20" spans="1:10">
      <c r="A20" s="49"/>
      <c r="B20" s="49" t="s">
        <v>46</v>
      </c>
      <c r="C20" s="52">
        <v>44732</v>
      </c>
      <c r="D20" s="51">
        <v>14904</v>
      </c>
      <c r="E20" s="51">
        <v>375</v>
      </c>
      <c r="F20" s="49" t="s">
        <v>50</v>
      </c>
      <c r="G20" s="49" t="s">
        <v>68</v>
      </c>
      <c r="H20" s="41">
        <v>243571.44</v>
      </c>
      <c r="I20" s="41"/>
      <c r="J20" s="41">
        <v>635131.98</v>
      </c>
    </row>
    <row r="21" spans="1:10">
      <c r="A21" s="49"/>
      <c r="B21" s="49" t="s">
        <v>46</v>
      </c>
      <c r="C21" s="52">
        <v>44735</v>
      </c>
      <c r="D21" s="51">
        <v>14901</v>
      </c>
      <c r="E21" s="51">
        <v>366</v>
      </c>
      <c r="F21" s="49" t="s">
        <v>44</v>
      </c>
      <c r="G21" s="49" t="s">
        <v>67</v>
      </c>
      <c r="H21" s="41">
        <v>44620.28</v>
      </c>
      <c r="I21" s="41"/>
      <c r="J21" s="41">
        <v>679752.26</v>
      </c>
    </row>
    <row r="22" spans="1:10">
      <c r="A22" s="49"/>
      <c r="B22" s="49" t="s">
        <v>42</v>
      </c>
      <c r="C22" s="52">
        <v>44762</v>
      </c>
      <c r="D22" s="51">
        <v>6001</v>
      </c>
      <c r="E22" s="50"/>
      <c r="F22" s="49" t="s">
        <v>44</v>
      </c>
      <c r="G22" s="49" t="s">
        <v>66</v>
      </c>
      <c r="H22" s="41"/>
      <c r="I22" s="41">
        <v>44620.28</v>
      </c>
      <c r="J22" s="41">
        <v>635131.98</v>
      </c>
    </row>
    <row r="23" spans="1:10">
      <c r="A23" s="49"/>
      <c r="B23" s="49" t="s">
        <v>42</v>
      </c>
      <c r="C23" s="52">
        <v>44762</v>
      </c>
      <c r="D23" s="51">
        <v>6002</v>
      </c>
      <c r="E23" s="50"/>
      <c r="F23" s="49" t="s">
        <v>41</v>
      </c>
      <c r="G23" s="49" t="s">
        <v>65</v>
      </c>
      <c r="H23" s="41"/>
      <c r="I23" s="41">
        <v>136753.68</v>
      </c>
      <c r="J23" s="41">
        <v>498378.3</v>
      </c>
    </row>
    <row r="24" spans="1:10">
      <c r="A24" s="49"/>
      <c r="B24" s="49" t="s">
        <v>42</v>
      </c>
      <c r="C24" s="52">
        <v>44762</v>
      </c>
      <c r="D24" s="51">
        <v>6003</v>
      </c>
      <c r="E24" s="50"/>
      <c r="F24" s="49" t="s">
        <v>52</v>
      </c>
      <c r="G24" s="49" t="s">
        <v>64</v>
      </c>
      <c r="H24" s="41"/>
      <c r="I24" s="41">
        <v>254806.86</v>
      </c>
      <c r="J24" s="41">
        <v>243571.44</v>
      </c>
    </row>
    <row r="25" spans="1:10">
      <c r="A25" s="49"/>
      <c r="B25" s="49" t="s">
        <v>42</v>
      </c>
      <c r="C25" s="52">
        <v>44762</v>
      </c>
      <c r="D25" s="51">
        <v>6005</v>
      </c>
      <c r="E25" s="50"/>
      <c r="F25" s="49" t="s">
        <v>50</v>
      </c>
      <c r="G25" s="49" t="s">
        <v>63</v>
      </c>
      <c r="H25" s="41"/>
      <c r="I25" s="41">
        <v>243571.44</v>
      </c>
      <c r="J25" s="41">
        <v>0</v>
      </c>
    </row>
    <row r="26" spans="1:10">
      <c r="A26" s="49"/>
      <c r="B26" s="49" t="s">
        <v>46</v>
      </c>
      <c r="C26" s="52">
        <v>44770</v>
      </c>
      <c r="D26" s="51">
        <v>14965</v>
      </c>
      <c r="E26" s="51">
        <v>373</v>
      </c>
      <c r="F26" s="49" t="s">
        <v>41</v>
      </c>
      <c r="G26" s="49" t="s">
        <v>62</v>
      </c>
      <c r="H26" s="41">
        <v>85322.16</v>
      </c>
      <c r="I26" s="41"/>
      <c r="J26" s="41">
        <v>85322.16</v>
      </c>
    </row>
    <row r="27" spans="1:10">
      <c r="A27" s="49"/>
      <c r="B27" s="49" t="s">
        <v>46</v>
      </c>
      <c r="C27" s="52">
        <v>44775</v>
      </c>
      <c r="D27" s="51">
        <v>14966</v>
      </c>
      <c r="E27" s="51">
        <v>375</v>
      </c>
      <c r="F27" s="49" t="s">
        <v>50</v>
      </c>
      <c r="G27" s="49" t="s">
        <v>61</v>
      </c>
      <c r="H27" s="41">
        <v>295742.78999999998</v>
      </c>
      <c r="I27" s="41"/>
      <c r="J27" s="41">
        <v>381064.95</v>
      </c>
    </row>
    <row r="28" spans="1:10">
      <c r="A28" s="49"/>
      <c r="B28" s="49" t="s">
        <v>46</v>
      </c>
      <c r="C28" s="52">
        <v>44782</v>
      </c>
      <c r="D28" s="51">
        <v>14973</v>
      </c>
      <c r="E28" s="51">
        <v>374</v>
      </c>
      <c r="F28" s="49" t="s">
        <v>52</v>
      </c>
      <c r="G28" s="49" t="s">
        <v>60</v>
      </c>
      <c r="H28" s="41">
        <v>380127.67</v>
      </c>
      <c r="I28" s="41"/>
      <c r="J28" s="41">
        <v>761192.62</v>
      </c>
    </row>
    <row r="29" spans="1:10">
      <c r="A29" s="49"/>
      <c r="B29" s="49" t="s">
        <v>46</v>
      </c>
      <c r="C29" s="52">
        <v>44795</v>
      </c>
      <c r="D29" s="51">
        <v>14974</v>
      </c>
      <c r="E29" s="51">
        <v>375</v>
      </c>
      <c r="F29" s="49" t="s">
        <v>50</v>
      </c>
      <c r="G29" s="49" t="s">
        <v>59</v>
      </c>
      <c r="H29" s="41">
        <v>129546.51</v>
      </c>
      <c r="I29" s="41"/>
      <c r="J29" s="41">
        <v>890739.13</v>
      </c>
    </row>
    <row r="30" spans="1:10">
      <c r="A30" s="49"/>
      <c r="B30" s="49" t="s">
        <v>42</v>
      </c>
      <c r="C30" s="52">
        <v>44813</v>
      </c>
      <c r="D30" s="51">
        <v>6253</v>
      </c>
      <c r="E30" s="50"/>
      <c r="F30" s="49" t="s">
        <v>41</v>
      </c>
      <c r="G30" s="49" t="s">
        <v>58</v>
      </c>
      <c r="H30" s="41"/>
      <c r="I30" s="41">
        <v>85322.16</v>
      </c>
      <c r="J30" s="41">
        <v>805416.97</v>
      </c>
    </row>
    <row r="31" spans="1:10">
      <c r="A31" s="49"/>
      <c r="B31" s="49" t="s">
        <v>42</v>
      </c>
      <c r="C31" s="52">
        <v>44813</v>
      </c>
      <c r="D31" s="51">
        <v>6254</v>
      </c>
      <c r="E31" s="50"/>
      <c r="F31" s="49" t="s">
        <v>50</v>
      </c>
      <c r="G31" s="49" t="s">
        <v>57</v>
      </c>
      <c r="H31" s="41"/>
      <c r="I31" s="41">
        <v>295742.78999999998</v>
      </c>
      <c r="J31" s="41">
        <v>509674.18</v>
      </c>
    </row>
    <row r="32" spans="1:10">
      <c r="A32" s="49"/>
      <c r="B32" s="49" t="s">
        <v>46</v>
      </c>
      <c r="C32" s="52">
        <v>44819</v>
      </c>
      <c r="D32" s="51">
        <v>15008</v>
      </c>
      <c r="E32" s="51">
        <v>374</v>
      </c>
      <c r="F32" s="49" t="s">
        <v>52</v>
      </c>
      <c r="G32" s="49" t="s">
        <v>56</v>
      </c>
      <c r="H32" s="41">
        <v>294906.21999999997</v>
      </c>
      <c r="I32" s="41"/>
      <c r="J32" s="41">
        <v>804580.4</v>
      </c>
    </row>
    <row r="33" spans="1:10">
      <c r="A33" s="49"/>
      <c r="B33" s="49" t="s">
        <v>42</v>
      </c>
      <c r="C33" s="52">
        <v>44819</v>
      </c>
      <c r="D33" s="51">
        <v>6282</v>
      </c>
      <c r="E33" s="50"/>
      <c r="F33" s="49" t="s">
        <v>52</v>
      </c>
      <c r="G33" s="49" t="s">
        <v>55</v>
      </c>
      <c r="H33" s="41">
        <v>156421.21</v>
      </c>
      <c r="I33" s="41"/>
      <c r="J33" s="41">
        <v>961001.61</v>
      </c>
    </row>
    <row r="34" spans="1:10">
      <c r="A34" s="49"/>
      <c r="B34" s="49" t="s">
        <v>42</v>
      </c>
      <c r="C34" s="52">
        <v>44832</v>
      </c>
      <c r="D34" s="51">
        <v>6369</v>
      </c>
      <c r="E34" s="50"/>
      <c r="F34" s="49" t="s">
        <v>52</v>
      </c>
      <c r="G34" s="49" t="s">
        <v>54</v>
      </c>
      <c r="H34" s="41"/>
      <c r="I34" s="41">
        <v>380127.67</v>
      </c>
      <c r="J34" s="41">
        <v>580873.93999999994</v>
      </c>
    </row>
    <row r="35" spans="1:10">
      <c r="A35" s="49"/>
      <c r="B35" s="49" t="s">
        <v>42</v>
      </c>
      <c r="C35" s="52">
        <v>44832</v>
      </c>
      <c r="D35" s="51">
        <v>6370</v>
      </c>
      <c r="E35" s="50"/>
      <c r="F35" s="49" t="s">
        <v>50</v>
      </c>
      <c r="G35" s="49" t="s">
        <v>53</v>
      </c>
      <c r="H35" s="41"/>
      <c r="I35" s="41">
        <v>129546.51</v>
      </c>
      <c r="J35" s="41">
        <v>451327.43</v>
      </c>
    </row>
    <row r="36" spans="1:10">
      <c r="A36" s="49"/>
      <c r="B36" s="49" t="s">
        <v>42</v>
      </c>
      <c r="C36" s="52">
        <v>44866</v>
      </c>
      <c r="D36" s="51">
        <v>6618</v>
      </c>
      <c r="E36" s="50"/>
      <c r="F36" s="49" t="s">
        <v>52</v>
      </c>
      <c r="G36" s="49" t="s">
        <v>51</v>
      </c>
      <c r="H36" s="41"/>
      <c r="I36" s="41">
        <v>450248.65</v>
      </c>
      <c r="J36" s="41">
        <v>1078.78</v>
      </c>
    </row>
    <row r="37" spans="1:10">
      <c r="A37" s="49"/>
      <c r="B37" s="49" t="s">
        <v>46</v>
      </c>
      <c r="C37" s="52">
        <v>44905</v>
      </c>
      <c r="D37" s="51">
        <v>15028</v>
      </c>
      <c r="E37" s="51">
        <v>375</v>
      </c>
      <c r="F37" s="49" t="s">
        <v>50</v>
      </c>
      <c r="G37" s="49" t="s">
        <v>49</v>
      </c>
      <c r="H37" s="53">
        <v>227509.3</v>
      </c>
      <c r="I37" s="41"/>
      <c r="J37" s="41">
        <v>228588.08</v>
      </c>
    </row>
    <row r="38" spans="1:10">
      <c r="A38" s="49"/>
      <c r="B38" s="49" t="s">
        <v>46</v>
      </c>
      <c r="C38" s="52">
        <v>44910</v>
      </c>
      <c r="D38" s="51">
        <v>15089</v>
      </c>
      <c r="E38" s="51">
        <v>366</v>
      </c>
      <c r="F38" s="49" t="s">
        <v>44</v>
      </c>
      <c r="G38" s="49" t="s">
        <v>48</v>
      </c>
      <c r="H38" s="41">
        <v>230389.47</v>
      </c>
      <c r="I38" s="41"/>
      <c r="J38" s="41">
        <v>458977.55</v>
      </c>
    </row>
    <row r="39" spans="1:10">
      <c r="A39" s="49"/>
      <c r="B39" s="49" t="s">
        <v>46</v>
      </c>
      <c r="C39" s="52">
        <v>44910</v>
      </c>
      <c r="D39" s="51">
        <v>15090</v>
      </c>
      <c r="E39" s="51">
        <v>373</v>
      </c>
      <c r="F39" s="49" t="s">
        <v>41</v>
      </c>
      <c r="G39" s="49" t="s">
        <v>47</v>
      </c>
      <c r="H39" s="41">
        <v>225289.68</v>
      </c>
      <c r="I39" s="41"/>
      <c r="J39" s="41">
        <v>684267.23</v>
      </c>
    </row>
    <row r="40" spans="1:10">
      <c r="A40" s="49"/>
      <c r="B40" s="49" t="s">
        <v>46</v>
      </c>
      <c r="C40" s="52">
        <v>44915</v>
      </c>
      <c r="D40" s="51">
        <v>15109</v>
      </c>
      <c r="E40" s="51">
        <v>373</v>
      </c>
      <c r="F40" s="49" t="s">
        <v>41</v>
      </c>
      <c r="G40" s="49" t="s">
        <v>45</v>
      </c>
      <c r="H40" s="53">
        <v>146813.51999999999</v>
      </c>
      <c r="I40" s="41"/>
      <c r="J40" s="41">
        <v>831080.75</v>
      </c>
    </row>
    <row r="41" spans="1:10">
      <c r="A41" s="49"/>
      <c r="B41" s="49" t="s">
        <v>42</v>
      </c>
      <c r="C41" s="52">
        <v>44937</v>
      </c>
      <c r="D41" s="51">
        <v>6827</v>
      </c>
      <c r="E41" s="50"/>
      <c r="F41" s="49" t="s">
        <v>44</v>
      </c>
      <c r="G41" s="49" t="s">
        <v>43</v>
      </c>
      <c r="H41" s="41"/>
      <c r="I41" s="41">
        <v>230389.47</v>
      </c>
      <c r="J41" s="41">
        <v>600691.28</v>
      </c>
    </row>
    <row r="42" spans="1:10" ht="15" thickBot="1">
      <c r="A42" s="49"/>
      <c r="B42" s="49" t="s">
        <v>42</v>
      </c>
      <c r="C42" s="52">
        <v>44937</v>
      </c>
      <c r="D42" s="51">
        <v>6828</v>
      </c>
      <c r="E42" s="50"/>
      <c r="F42" s="49" t="s">
        <v>41</v>
      </c>
      <c r="G42" s="49" t="s">
        <v>40</v>
      </c>
      <c r="H42" s="48"/>
      <c r="I42" s="48">
        <v>225289.68</v>
      </c>
      <c r="J42" s="48">
        <v>375401.6</v>
      </c>
    </row>
    <row r="43" spans="1:10" s="42" customFormat="1" ht="15.75" thickBot="1">
      <c r="A43" s="45" t="s">
        <v>12</v>
      </c>
      <c r="B43" s="45"/>
      <c r="C43" s="47"/>
      <c r="D43" s="46"/>
      <c r="E43" s="46"/>
      <c r="F43" s="45"/>
      <c r="G43" s="45"/>
      <c r="H43" s="44">
        <f>ROUND(SUM(H3:H42),5)</f>
        <v>4089038.27</v>
      </c>
      <c r="I43" s="44">
        <f>ROUND(SUM(I3:I42),5)</f>
        <v>3713636.67</v>
      </c>
      <c r="J43" s="43">
        <f>J42</f>
        <v>375401.6</v>
      </c>
    </row>
    <row r="44" spans="1:10" ht="15" thickTop="1"/>
    <row r="46" spans="1:10" ht="15">
      <c r="G46" s="3" t="s">
        <v>39</v>
      </c>
      <c r="I46" s="41">
        <f>SUM(I3:I7)</f>
        <v>400000</v>
      </c>
    </row>
    <row r="47" spans="1:10" ht="15">
      <c r="G47" s="3" t="s">
        <v>38</v>
      </c>
      <c r="I47" s="41">
        <f>SUM(I8:I9)</f>
        <v>200000</v>
      </c>
    </row>
    <row r="48" spans="1:10" ht="15.75" thickBot="1">
      <c r="G48" s="3" t="s">
        <v>37</v>
      </c>
      <c r="I48" s="41">
        <f>SUM(I14:I42)</f>
        <v>3113636.67</v>
      </c>
    </row>
    <row r="49" spans="7:10" ht="16.5" thickBot="1">
      <c r="G49" s="40" t="s">
        <v>12</v>
      </c>
      <c r="I49" s="39">
        <f>SUM(I46:I48)</f>
        <v>3713636.67</v>
      </c>
      <c r="J49" s="41">
        <f>I43-I49</f>
        <v>0</v>
      </c>
    </row>
    <row r="50" spans="7:10" ht="15">
      <c r="G50" s="20" t="s">
        <v>36</v>
      </c>
      <c r="I50" s="37">
        <v>243644.1</v>
      </c>
    </row>
    <row r="51" spans="7:10" ht="15.75" thickBot="1">
      <c r="G51" s="20" t="s">
        <v>35</v>
      </c>
      <c r="I51" s="41">
        <v>224070</v>
      </c>
    </row>
    <row r="52" spans="7:10" ht="16.5" thickBot="1">
      <c r="G52" s="40" t="s">
        <v>12</v>
      </c>
      <c r="I52" s="39">
        <f>SUM(I49:I51)</f>
        <v>4181350.77</v>
      </c>
    </row>
    <row r="53" spans="7:10" ht="15">
      <c r="I53" s="57"/>
    </row>
    <row r="54" spans="7:10" ht="15">
      <c r="I54" s="57"/>
    </row>
    <row r="56" spans="7:10">
      <c r="G56" s="58" t="s">
        <v>99</v>
      </c>
      <c r="I56" s="37">
        <f>I48</f>
        <v>3113636.67</v>
      </c>
    </row>
    <row r="57" spans="7:10" ht="15" thickBot="1">
      <c r="G57" s="49" t="s">
        <v>101</v>
      </c>
      <c r="I57" s="37">
        <f>H40</f>
        <v>146813.51999999999</v>
      </c>
    </row>
    <row r="58" spans="7:10" ht="15">
      <c r="G58" s="58" t="s">
        <v>102</v>
      </c>
      <c r="I58" s="59">
        <f>SUM(I56:I57)</f>
        <v>3260450.19</v>
      </c>
    </row>
    <row r="59" spans="7:10">
      <c r="G59" s="3" t="s">
        <v>98</v>
      </c>
      <c r="I59" s="60">
        <v>4500000</v>
      </c>
    </row>
    <row r="60" spans="7:10" ht="15.75" thickBot="1">
      <c r="G60" s="19" t="s">
        <v>100</v>
      </c>
      <c r="I60" s="61">
        <f>I59-I58</f>
        <v>1239549.81</v>
      </c>
    </row>
  </sheetData>
  <pageMargins left="0.7" right="0.7" top="0.75" bottom="0.75" header="0.1" footer="0.3"/>
  <pageSetup orientation="portrait" r:id="rId1"/>
  <headerFooter>
    <oddHeader>&amp;L&amp;"Arial,Bold"&amp;10 12:32 PM
&amp;"Arial,Bold"&amp;10 01-24-23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3073" r:id="rId4" name="FILT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542925</xdr:colOff>
                <xdr:row>1</xdr:row>
                <xdr:rowOff>228600</xdr:rowOff>
              </to>
            </anchor>
          </controlPr>
        </control>
      </mc:Choice>
      <mc:Fallback>
        <control shapeId="3073" r:id="rId4" name="FILTER"/>
      </mc:Fallback>
    </mc:AlternateContent>
    <mc:AlternateContent xmlns:mc="http://schemas.openxmlformats.org/markup-compatibility/2006">
      <mc:Choice Requires="x14">
        <control shapeId="3074" r:id="rId6" name="HEAD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542925</xdr:colOff>
                <xdr:row>1</xdr:row>
                <xdr:rowOff>228600</xdr:rowOff>
              </to>
            </anchor>
          </controlPr>
        </control>
      </mc:Choice>
      <mc:Fallback>
        <control shapeId="3074" r:id="rId6" name="HEADER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H13"/>
  <sheetViews>
    <sheetView zoomScaleNormal="100" zoomScaleSheetLayoutView="100" workbookViewId="0">
      <selection activeCell="I13" sqref="I13"/>
    </sheetView>
  </sheetViews>
  <sheetFormatPr defaultColWidth="9.140625" defaultRowHeight="15"/>
  <cols>
    <col min="1" max="1" width="9.140625" style="13"/>
    <col min="2" max="2" width="9.85546875" style="2" bestFit="1" customWidth="1"/>
    <col min="3" max="3" width="51.7109375" style="2" bestFit="1" customWidth="1"/>
    <col min="4" max="4" width="14.5703125" style="16" bestFit="1" customWidth="1"/>
    <col min="5" max="5" width="12.5703125" style="16" bestFit="1" customWidth="1"/>
    <col min="6" max="6" width="16.28515625" style="14" customWidth="1"/>
    <col min="7" max="7" width="4.28515625" style="117" bestFit="1" customWidth="1"/>
    <col min="8" max="8" width="3.7109375" style="13" bestFit="1" customWidth="1"/>
    <col min="9" max="16384" width="9.140625" style="13"/>
  </cols>
  <sheetData>
    <row r="3" spans="2:8" ht="15.75" customHeight="1">
      <c r="B3" s="721" t="s">
        <v>235</v>
      </c>
      <c r="C3" s="721"/>
      <c r="D3" s="721"/>
      <c r="E3" s="721"/>
      <c r="F3" s="721"/>
    </row>
    <row r="4" spans="2:8" ht="15.75" thickBot="1">
      <c r="B4" s="6"/>
      <c r="C4" s="4"/>
      <c r="D4" s="18"/>
      <c r="E4" s="18"/>
      <c r="F4" s="7"/>
    </row>
    <row r="5" spans="2:8" s="21" customFormat="1" ht="50.1" customHeight="1" thickBot="1">
      <c r="B5" s="137" t="s">
        <v>120</v>
      </c>
      <c r="C5" s="138" t="s">
        <v>119</v>
      </c>
      <c r="D5" s="139" t="s">
        <v>118</v>
      </c>
      <c r="E5" s="139" t="s">
        <v>117</v>
      </c>
      <c r="F5" s="139" t="s">
        <v>116</v>
      </c>
      <c r="G5" s="118"/>
    </row>
    <row r="6" spans="2:8" ht="17.100000000000001" customHeight="1">
      <c r="B6" s="133" t="s">
        <v>115</v>
      </c>
      <c r="C6" s="134" t="s">
        <v>114</v>
      </c>
      <c r="D6" s="135">
        <f>'Statement of account'!F16</f>
        <v>1167393.31</v>
      </c>
      <c r="E6" s="135">
        <v>0</v>
      </c>
      <c r="F6" s="136">
        <f>SUM(D6:E6)</f>
        <v>1167393.31</v>
      </c>
      <c r="G6" s="117">
        <f>D6-'Statement of account'!F16</f>
        <v>0</v>
      </c>
    </row>
    <row r="7" spans="2:8" ht="17.100000000000001" customHeight="1">
      <c r="B7" s="120" t="s">
        <v>113</v>
      </c>
      <c r="C7" s="121" t="s">
        <v>112</v>
      </c>
      <c r="D7" s="122">
        <f>'Statement of account'!F23</f>
        <v>2053600.5</v>
      </c>
      <c r="E7" s="122">
        <v>0</v>
      </c>
      <c r="F7" s="123">
        <f>SUM(D7:E7)</f>
        <v>2053600.5</v>
      </c>
      <c r="G7" s="117">
        <f>D7-'Statement of account'!F23</f>
        <v>0</v>
      </c>
    </row>
    <row r="8" spans="2:8" ht="17.100000000000001" customHeight="1">
      <c r="B8" s="120" t="s">
        <v>111</v>
      </c>
      <c r="C8" s="124" t="s">
        <v>110</v>
      </c>
      <c r="D8" s="122">
        <f>'Statement of account'!F31</f>
        <v>1407790.86</v>
      </c>
      <c r="E8" s="122">
        <f>'Statement of account'!F30</f>
        <v>10274.200000000001</v>
      </c>
      <c r="F8" s="123">
        <f>SUM(D8:E8)</f>
        <v>1418065.06</v>
      </c>
      <c r="G8" s="117">
        <f>F8-('Statement of account'!F30+'Statement of account'!F31)</f>
        <v>0</v>
      </c>
    </row>
    <row r="9" spans="2:8" ht="17.100000000000001" customHeight="1">
      <c r="B9" s="120" t="s">
        <v>109</v>
      </c>
      <c r="C9" s="124" t="s">
        <v>108</v>
      </c>
      <c r="D9" s="122">
        <f>'Statement of account'!F41</f>
        <v>1072840.6000000001</v>
      </c>
      <c r="E9" s="122">
        <f>'Statement of account'!F40</f>
        <v>14627.23</v>
      </c>
      <c r="F9" s="123">
        <f>SUM(D9,E9:E12)</f>
        <v>1555181.9300000002</v>
      </c>
      <c r="G9" s="117">
        <f>D9-'Statement of account'!F41</f>
        <v>0</v>
      </c>
    </row>
    <row r="10" spans="2:8" ht="17.100000000000001" customHeight="1">
      <c r="B10" s="125"/>
      <c r="C10" s="126" t="s">
        <v>33</v>
      </c>
      <c r="D10" s="127">
        <v>0</v>
      </c>
      <c r="E10" s="127">
        <f>'Statement of account'!F38</f>
        <v>243644.1</v>
      </c>
      <c r="F10" s="128"/>
      <c r="G10" s="117">
        <f>E10-'Statement of account'!F38</f>
        <v>0</v>
      </c>
    </row>
    <row r="11" spans="2:8" ht="17.100000000000001" customHeight="1">
      <c r="B11" s="125"/>
      <c r="C11" s="126" t="s">
        <v>286</v>
      </c>
      <c r="D11" s="127">
        <v>0</v>
      </c>
      <c r="E11" s="127">
        <f>'Statement of account'!F39</f>
        <v>224070</v>
      </c>
      <c r="F11" s="128"/>
      <c r="G11" s="117">
        <f>E11-'Statement of account'!F39</f>
        <v>0</v>
      </c>
    </row>
    <row r="12" spans="2:8" ht="17.100000000000001" customHeight="1" thickBot="1">
      <c r="B12" s="129"/>
      <c r="C12" s="130"/>
      <c r="D12" s="131">
        <v>0</v>
      </c>
      <c r="E12" s="131"/>
      <c r="F12" s="132"/>
    </row>
    <row r="13" spans="2:8" s="116" customFormat="1" ht="35.1" customHeight="1" thickBot="1">
      <c r="B13" s="80"/>
      <c r="C13" s="119" t="s">
        <v>12</v>
      </c>
      <c r="D13" s="81">
        <f>SUM(D6:D12)</f>
        <v>5701625.2699999996</v>
      </c>
      <c r="E13" s="81">
        <f>SUM(E6:E12)</f>
        <v>492615.53</v>
      </c>
      <c r="F13" s="81">
        <f>SUM(F6:F12)</f>
        <v>6194240.8000000007</v>
      </c>
      <c r="G13" s="209">
        <f>F13-D13-E13</f>
        <v>1.1641532182693481E-9</v>
      </c>
      <c r="H13" s="117">
        <f>F13-'Statement of account'!F49</f>
        <v>0</v>
      </c>
    </row>
  </sheetData>
  <mergeCells count="1">
    <mergeCell ref="B3:F3"/>
  </mergeCells>
  <printOptions horizontalCentered="1"/>
  <pageMargins left="0" right="0" top="0.36" bottom="0.44" header="0.2" footer="0.2"/>
  <pageSetup paperSize="9" scale="70" orientation="portrait" r:id="rId1"/>
  <colBreaks count="1" manualBreakCount="1">
    <brk id="5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U170"/>
  <sheetViews>
    <sheetView workbookViewId="0">
      <pane xSplit="4" ySplit="1" topLeftCell="E29" activePane="bottomRight" state="frozenSplit"/>
      <selection pane="topRight" activeCell="E1" sqref="E1"/>
      <selection pane="bottomLeft" activeCell="A2" sqref="A2"/>
      <selection pane="bottomRight" activeCell="S171" sqref="S171"/>
    </sheetView>
  </sheetViews>
  <sheetFormatPr defaultRowHeight="15"/>
  <cols>
    <col min="1" max="3" width="3" customWidth="1"/>
    <col min="4" max="4" width="1.28515625" customWidth="1"/>
    <col min="5" max="6" width="2.28515625" customWidth="1"/>
    <col min="7" max="7" width="14" bestFit="1" customWidth="1"/>
    <col min="8" max="8" width="2.28515625" customWidth="1"/>
    <col min="9" max="9" width="10.140625" bestFit="1" customWidth="1"/>
    <col min="10" max="10" width="2.28515625" customWidth="1"/>
    <col min="11" max="11" width="6" style="101" bestFit="1" customWidth="1"/>
    <col min="12" max="12" width="2.28515625" customWidth="1"/>
    <col min="13" max="13" width="10.28515625" customWidth="1"/>
    <col min="14" max="14" width="2.28515625" customWidth="1"/>
    <col min="15" max="15" width="53.7109375" customWidth="1"/>
    <col min="16" max="16" width="2.28515625" customWidth="1"/>
    <col min="17" max="17" width="11.7109375" bestFit="1" customWidth="1"/>
    <col min="18" max="18" width="2.28515625" customWidth="1"/>
    <col min="19" max="19" width="12.7109375" style="210" bestFit="1" customWidth="1"/>
    <col min="20" max="20" width="2.28515625" customWidth="1"/>
    <col min="21" max="21" width="12.28515625" bestFit="1" customWidth="1"/>
  </cols>
  <sheetData>
    <row r="1" spans="1:21" s="101" customFormat="1" ht="15.75" thickBot="1">
      <c r="A1" s="103"/>
      <c r="B1" s="103"/>
      <c r="C1" s="103"/>
      <c r="D1" s="103"/>
      <c r="E1" s="103"/>
      <c r="F1" s="103"/>
      <c r="G1" s="102" t="s">
        <v>97</v>
      </c>
      <c r="H1" s="103"/>
      <c r="I1" s="102" t="s">
        <v>96</v>
      </c>
      <c r="J1" s="103"/>
      <c r="K1" s="102" t="s">
        <v>95</v>
      </c>
      <c r="L1" s="103"/>
      <c r="M1" s="102" t="s">
        <v>93</v>
      </c>
      <c r="N1" s="103"/>
      <c r="O1" s="102" t="s">
        <v>92</v>
      </c>
      <c r="P1" s="103"/>
      <c r="Q1" s="102" t="s">
        <v>91</v>
      </c>
      <c r="R1" s="103"/>
      <c r="S1" s="219" t="s">
        <v>90</v>
      </c>
      <c r="T1" s="103"/>
      <c r="U1" s="102" t="s">
        <v>31</v>
      </c>
    </row>
    <row r="2" spans="1:21" ht="15.75" thickTop="1">
      <c r="A2" s="90"/>
      <c r="B2" s="90" t="s">
        <v>166</v>
      </c>
      <c r="C2" s="90"/>
      <c r="D2" s="90"/>
      <c r="E2" s="90"/>
      <c r="F2" s="90"/>
      <c r="G2" s="90"/>
      <c r="H2" s="90"/>
      <c r="I2" s="91"/>
      <c r="J2" s="90"/>
      <c r="K2" s="156"/>
      <c r="L2" s="90"/>
      <c r="M2" s="90"/>
      <c r="N2" s="90"/>
      <c r="O2" s="90"/>
      <c r="P2" s="90"/>
      <c r="Q2" s="98"/>
      <c r="R2" s="90"/>
      <c r="S2" s="214"/>
      <c r="T2" s="90"/>
      <c r="U2" s="98"/>
    </row>
    <row r="3" spans="1:21">
      <c r="A3" s="94"/>
      <c r="B3" s="94"/>
      <c r="C3" s="94"/>
      <c r="D3" s="94"/>
      <c r="E3" s="94"/>
      <c r="F3" s="94"/>
      <c r="G3" s="94" t="s">
        <v>80</v>
      </c>
      <c r="H3" s="94"/>
      <c r="I3" s="95">
        <v>44595</v>
      </c>
      <c r="J3" s="94"/>
      <c r="K3" s="152" t="s">
        <v>88</v>
      </c>
      <c r="L3" s="94"/>
      <c r="M3" s="94" t="s">
        <v>290</v>
      </c>
      <c r="N3" s="94"/>
      <c r="O3" s="94" t="s">
        <v>87</v>
      </c>
      <c r="P3" s="94"/>
      <c r="Q3" s="97"/>
      <c r="R3" s="94"/>
      <c r="S3" s="217">
        <v>250000</v>
      </c>
      <c r="T3" s="94"/>
      <c r="U3" s="97">
        <v>-250000</v>
      </c>
    </row>
    <row r="4" spans="1:21">
      <c r="A4" s="94"/>
      <c r="B4" s="94"/>
      <c r="C4" s="94"/>
      <c r="D4" s="94"/>
      <c r="E4" s="94"/>
      <c r="F4" s="94"/>
      <c r="G4" s="94" t="s">
        <v>80</v>
      </c>
      <c r="H4" s="94"/>
      <c r="I4" s="95">
        <v>44625</v>
      </c>
      <c r="J4" s="94"/>
      <c r="K4" s="152" t="s">
        <v>86</v>
      </c>
      <c r="L4" s="94"/>
      <c r="M4" s="94" t="s">
        <v>290</v>
      </c>
      <c r="N4" s="94"/>
      <c r="O4" s="94" t="s">
        <v>85</v>
      </c>
      <c r="P4" s="94"/>
      <c r="Q4" s="97"/>
      <c r="R4" s="94"/>
      <c r="S4" s="217">
        <v>100000</v>
      </c>
      <c r="T4" s="94"/>
      <c r="U4" s="97">
        <v>-350000</v>
      </c>
    </row>
    <row r="5" spans="1:21">
      <c r="A5" s="94"/>
      <c r="B5" s="94"/>
      <c r="C5" s="94"/>
      <c r="D5" s="94"/>
      <c r="E5" s="94"/>
      <c r="F5" s="94"/>
      <c r="G5" s="94" t="s">
        <v>46</v>
      </c>
      <c r="H5" s="94"/>
      <c r="I5" s="95">
        <v>44653</v>
      </c>
      <c r="J5" s="94"/>
      <c r="K5" s="152" t="s">
        <v>134</v>
      </c>
      <c r="L5" s="94"/>
      <c r="M5" s="94" t="s">
        <v>290</v>
      </c>
      <c r="N5" s="94"/>
      <c r="O5" s="94" t="s">
        <v>324</v>
      </c>
      <c r="P5" s="94"/>
      <c r="Q5" s="97">
        <v>212887.52</v>
      </c>
      <c r="R5" s="94"/>
      <c r="S5" s="213"/>
      <c r="T5" s="94"/>
      <c r="U5" s="97">
        <v>-137112.48000000001</v>
      </c>
    </row>
    <row r="6" spans="1:21">
      <c r="A6" s="94"/>
      <c r="B6" s="94"/>
      <c r="C6" s="94"/>
      <c r="D6" s="94"/>
      <c r="E6" s="94"/>
      <c r="F6" s="94"/>
      <c r="G6" s="94" t="s">
        <v>46</v>
      </c>
      <c r="H6" s="94"/>
      <c r="I6" s="95">
        <v>44658</v>
      </c>
      <c r="J6" s="94"/>
      <c r="K6" s="152" t="s">
        <v>132</v>
      </c>
      <c r="L6" s="94"/>
      <c r="M6" s="94" t="s">
        <v>290</v>
      </c>
      <c r="N6" s="94"/>
      <c r="O6" s="94" t="s">
        <v>323</v>
      </c>
      <c r="P6" s="94"/>
      <c r="Q6" s="97">
        <v>94367.39</v>
      </c>
      <c r="R6" s="94"/>
      <c r="S6" s="213"/>
      <c r="T6" s="94"/>
      <c r="U6" s="97">
        <v>-42745.09</v>
      </c>
    </row>
    <row r="7" spans="1:21">
      <c r="A7" s="94"/>
      <c r="B7" s="94"/>
      <c r="C7" s="94"/>
      <c r="D7" s="94"/>
      <c r="E7" s="94"/>
      <c r="F7" s="94"/>
      <c r="G7" s="94" t="s">
        <v>80</v>
      </c>
      <c r="H7" s="94"/>
      <c r="I7" s="95">
        <v>44669</v>
      </c>
      <c r="J7" s="94"/>
      <c r="K7" s="152" t="s">
        <v>165</v>
      </c>
      <c r="L7" s="94"/>
      <c r="M7" s="94" t="s">
        <v>290</v>
      </c>
      <c r="N7" s="94"/>
      <c r="O7" s="94" t="s">
        <v>82</v>
      </c>
      <c r="P7" s="94"/>
      <c r="Q7" s="97"/>
      <c r="R7" s="94"/>
      <c r="S7" s="217">
        <v>50000</v>
      </c>
      <c r="T7" s="94"/>
      <c r="U7" s="97">
        <v>-92745.09</v>
      </c>
    </row>
    <row r="8" spans="1:21">
      <c r="A8" s="94"/>
      <c r="B8" s="94"/>
      <c r="C8" s="94"/>
      <c r="D8" s="94"/>
      <c r="E8" s="94"/>
      <c r="F8" s="94"/>
      <c r="G8" s="94" t="s">
        <v>80</v>
      </c>
      <c r="H8" s="94"/>
      <c r="I8" s="95">
        <v>44678</v>
      </c>
      <c r="J8" s="94"/>
      <c r="K8" s="152" t="s">
        <v>219</v>
      </c>
      <c r="L8" s="94"/>
      <c r="M8" s="94" t="s">
        <v>287</v>
      </c>
      <c r="N8" s="94"/>
      <c r="O8" s="94" t="s">
        <v>322</v>
      </c>
      <c r="P8" s="94"/>
      <c r="Q8" s="97"/>
      <c r="R8" s="94"/>
      <c r="S8" s="218">
        <v>100000</v>
      </c>
      <c r="T8" s="94"/>
      <c r="U8" s="97">
        <v>-192745.09</v>
      </c>
    </row>
    <row r="9" spans="1:21">
      <c r="A9" s="94"/>
      <c r="B9" s="94"/>
      <c r="C9" s="94"/>
      <c r="D9" s="94"/>
      <c r="E9" s="94"/>
      <c r="F9" s="94"/>
      <c r="G9" s="94" t="s">
        <v>80</v>
      </c>
      <c r="H9" s="94"/>
      <c r="I9" s="95">
        <v>44691</v>
      </c>
      <c r="J9" s="94"/>
      <c r="K9" s="152" t="s">
        <v>218</v>
      </c>
      <c r="L9" s="94"/>
      <c r="M9" s="94" t="s">
        <v>287</v>
      </c>
      <c r="N9" s="94"/>
      <c r="O9" s="94" t="s">
        <v>321</v>
      </c>
      <c r="P9" s="94"/>
      <c r="Q9" s="97"/>
      <c r="R9" s="94"/>
      <c r="S9" s="218">
        <v>100000</v>
      </c>
      <c r="T9" s="94"/>
      <c r="U9" s="97">
        <v>-292745.09000000003</v>
      </c>
    </row>
    <row r="10" spans="1:21">
      <c r="A10" s="94"/>
      <c r="B10" s="94"/>
      <c r="C10" s="94"/>
      <c r="D10" s="94"/>
      <c r="E10" s="94"/>
      <c r="F10" s="94"/>
      <c r="G10" s="94" t="s">
        <v>46</v>
      </c>
      <c r="H10" s="94"/>
      <c r="I10" s="95">
        <v>44694</v>
      </c>
      <c r="J10" s="94"/>
      <c r="K10" s="152" t="s">
        <v>130</v>
      </c>
      <c r="L10" s="94"/>
      <c r="M10" s="94" t="s">
        <v>290</v>
      </c>
      <c r="N10" s="94"/>
      <c r="O10" s="94" t="s">
        <v>320</v>
      </c>
      <c r="P10" s="94"/>
      <c r="Q10" s="97">
        <v>214895.35</v>
      </c>
      <c r="R10" s="94"/>
      <c r="S10" s="213"/>
      <c r="T10" s="94"/>
      <c r="U10" s="97">
        <v>-77849.740000000005</v>
      </c>
    </row>
    <row r="11" spans="1:21">
      <c r="A11" s="94"/>
      <c r="B11" s="94"/>
      <c r="C11" s="94"/>
      <c r="D11" s="94"/>
      <c r="E11" s="94"/>
      <c r="F11" s="94"/>
      <c r="G11" s="94" t="s">
        <v>46</v>
      </c>
      <c r="H11" s="94"/>
      <c r="I11" s="95">
        <v>44694</v>
      </c>
      <c r="J11" s="94"/>
      <c r="K11" s="152" t="s">
        <v>175</v>
      </c>
      <c r="L11" s="94"/>
      <c r="M11" s="94" t="s">
        <v>289</v>
      </c>
      <c r="N11" s="94"/>
      <c r="O11" s="94" t="s">
        <v>319</v>
      </c>
      <c r="P11" s="94"/>
      <c r="Q11" s="97">
        <v>217067.76</v>
      </c>
      <c r="R11" s="94"/>
      <c r="S11" s="213"/>
      <c r="T11" s="94"/>
      <c r="U11" s="97">
        <v>139218.01999999999</v>
      </c>
    </row>
    <row r="12" spans="1:21">
      <c r="A12" s="94"/>
      <c r="B12" s="94"/>
      <c r="C12" s="94"/>
      <c r="D12" s="94"/>
      <c r="E12" s="94"/>
      <c r="F12" s="94"/>
      <c r="G12" s="94" t="s">
        <v>46</v>
      </c>
      <c r="H12" s="94"/>
      <c r="I12" s="95">
        <v>44694</v>
      </c>
      <c r="J12" s="94"/>
      <c r="K12" s="152" t="s">
        <v>208</v>
      </c>
      <c r="L12" s="94"/>
      <c r="M12" s="94" t="s">
        <v>287</v>
      </c>
      <c r="N12" s="94"/>
      <c r="O12" s="94" t="s">
        <v>318</v>
      </c>
      <c r="P12" s="94"/>
      <c r="Q12" s="97">
        <v>321528.90000000002</v>
      </c>
      <c r="R12" s="94"/>
      <c r="S12" s="213"/>
      <c r="T12" s="94"/>
      <c r="U12" s="97">
        <v>460746.92</v>
      </c>
    </row>
    <row r="13" spans="1:21">
      <c r="A13" s="94"/>
      <c r="B13" s="94"/>
      <c r="C13" s="94"/>
      <c r="D13" s="94"/>
      <c r="E13" s="94"/>
      <c r="F13" s="94"/>
      <c r="G13" s="94" t="s">
        <v>46</v>
      </c>
      <c r="H13" s="94"/>
      <c r="I13" s="95">
        <v>44694</v>
      </c>
      <c r="J13" s="94"/>
      <c r="K13" s="152" t="s">
        <v>226</v>
      </c>
      <c r="L13" s="94"/>
      <c r="M13" s="94" t="s">
        <v>288</v>
      </c>
      <c r="N13" s="94"/>
      <c r="O13" s="94" t="s">
        <v>317</v>
      </c>
      <c r="P13" s="94"/>
      <c r="Q13" s="97">
        <v>176470.56</v>
      </c>
      <c r="R13" s="94"/>
      <c r="S13" s="213"/>
      <c r="T13" s="94"/>
      <c r="U13" s="97">
        <v>637217.48</v>
      </c>
    </row>
    <row r="14" spans="1:21">
      <c r="A14" s="94"/>
      <c r="B14" s="94"/>
      <c r="C14" s="94"/>
      <c r="D14" s="94"/>
      <c r="E14" s="94"/>
      <c r="F14" s="94"/>
      <c r="G14" s="94" t="s">
        <v>42</v>
      </c>
      <c r="H14" s="94"/>
      <c r="I14" s="95">
        <v>44728</v>
      </c>
      <c r="J14" s="94"/>
      <c r="K14" s="152" t="s">
        <v>164</v>
      </c>
      <c r="L14" s="94"/>
      <c r="M14" s="94" t="s">
        <v>290</v>
      </c>
      <c r="N14" s="94"/>
      <c r="O14" s="94" t="s">
        <v>316</v>
      </c>
      <c r="P14" s="94"/>
      <c r="Q14" s="97"/>
      <c r="R14" s="94"/>
      <c r="S14" s="157">
        <v>122150.26</v>
      </c>
      <c r="T14" s="94"/>
      <c r="U14" s="97">
        <v>515067.22</v>
      </c>
    </row>
    <row r="15" spans="1:21">
      <c r="A15" s="94"/>
      <c r="B15" s="94"/>
      <c r="C15" s="94"/>
      <c r="D15" s="94"/>
      <c r="E15" s="94"/>
      <c r="F15" s="94"/>
      <c r="G15" s="94" t="s">
        <v>42</v>
      </c>
      <c r="H15" s="94"/>
      <c r="I15" s="95">
        <v>44728</v>
      </c>
      <c r="J15" s="94"/>
      <c r="K15" s="152" t="s">
        <v>197</v>
      </c>
      <c r="L15" s="94"/>
      <c r="M15" s="94" t="s">
        <v>289</v>
      </c>
      <c r="N15" s="94"/>
      <c r="O15" s="94" t="s">
        <v>315</v>
      </c>
      <c r="P15" s="94"/>
      <c r="Q15" s="97"/>
      <c r="R15" s="94"/>
      <c r="S15" s="157">
        <v>217067.76</v>
      </c>
      <c r="T15" s="94"/>
      <c r="U15" s="97">
        <v>297999.46000000002</v>
      </c>
    </row>
    <row r="16" spans="1:21">
      <c r="A16" s="94"/>
      <c r="B16" s="94"/>
      <c r="C16" s="94"/>
      <c r="D16" s="94"/>
      <c r="E16" s="94"/>
      <c r="F16" s="94"/>
      <c r="G16" s="94" t="s">
        <v>42</v>
      </c>
      <c r="H16" s="94"/>
      <c r="I16" s="95">
        <v>44728</v>
      </c>
      <c r="J16" s="94"/>
      <c r="K16" s="152" t="s">
        <v>217</v>
      </c>
      <c r="L16" s="94"/>
      <c r="M16" s="94" t="s">
        <v>287</v>
      </c>
      <c r="N16" s="94"/>
      <c r="O16" s="94" t="s">
        <v>314</v>
      </c>
      <c r="P16" s="94"/>
      <c r="Q16" s="97"/>
      <c r="R16" s="94"/>
      <c r="S16" s="157">
        <v>121528.9</v>
      </c>
      <c r="T16" s="94"/>
      <c r="U16" s="97">
        <v>176470.56</v>
      </c>
    </row>
    <row r="17" spans="1:21">
      <c r="A17" s="94"/>
      <c r="B17" s="94"/>
      <c r="C17" s="94"/>
      <c r="D17" s="94"/>
      <c r="E17" s="94"/>
      <c r="F17" s="94"/>
      <c r="G17" s="94" t="s">
        <v>42</v>
      </c>
      <c r="H17" s="94"/>
      <c r="I17" s="95">
        <v>44728</v>
      </c>
      <c r="J17" s="94"/>
      <c r="K17" s="152" t="s">
        <v>234</v>
      </c>
      <c r="L17" s="94"/>
      <c r="M17" s="94" t="s">
        <v>288</v>
      </c>
      <c r="N17" s="94"/>
      <c r="O17" s="94" t="s">
        <v>313</v>
      </c>
      <c r="P17" s="94"/>
      <c r="Q17" s="97"/>
      <c r="R17" s="94"/>
      <c r="S17" s="157">
        <v>176470.56</v>
      </c>
      <c r="T17" s="94"/>
      <c r="U17" s="97">
        <v>0</v>
      </c>
    </row>
    <row r="18" spans="1:21">
      <c r="A18" s="94"/>
      <c r="B18" s="94"/>
      <c r="C18" s="94"/>
      <c r="D18" s="94"/>
      <c r="E18" s="94"/>
      <c r="F18" s="94"/>
      <c r="G18" s="94" t="s">
        <v>46</v>
      </c>
      <c r="H18" s="94"/>
      <c r="I18" s="95">
        <v>44732</v>
      </c>
      <c r="J18" s="94"/>
      <c r="K18" s="152" t="s">
        <v>174</v>
      </c>
      <c r="L18" s="94"/>
      <c r="M18" s="94" t="s">
        <v>289</v>
      </c>
      <c r="N18" s="94"/>
      <c r="O18" s="94" t="s">
        <v>312</v>
      </c>
      <c r="P18" s="94"/>
      <c r="Q18" s="97">
        <v>136753.68</v>
      </c>
      <c r="R18" s="94"/>
      <c r="S18" s="213"/>
      <c r="T18" s="94"/>
      <c r="U18" s="97">
        <v>136753.68</v>
      </c>
    </row>
    <row r="19" spans="1:21">
      <c r="A19" s="94"/>
      <c r="B19" s="94"/>
      <c r="C19" s="94"/>
      <c r="D19" s="94"/>
      <c r="E19" s="94"/>
      <c r="F19" s="94"/>
      <c r="G19" s="94" t="s">
        <v>46</v>
      </c>
      <c r="H19" s="94"/>
      <c r="I19" s="95">
        <v>44732</v>
      </c>
      <c r="J19" s="94"/>
      <c r="K19" s="152" t="s">
        <v>206</v>
      </c>
      <c r="L19" s="94"/>
      <c r="M19" s="94" t="s">
        <v>287</v>
      </c>
      <c r="N19" s="94"/>
      <c r="O19" s="94" t="s">
        <v>311</v>
      </c>
      <c r="P19" s="94"/>
      <c r="Q19" s="97">
        <v>254806.86</v>
      </c>
      <c r="R19" s="94"/>
      <c r="S19" s="213"/>
      <c r="T19" s="94"/>
      <c r="U19" s="97">
        <v>391560.54</v>
      </c>
    </row>
    <row r="20" spans="1:21">
      <c r="A20" s="94"/>
      <c r="B20" s="94"/>
      <c r="C20" s="94"/>
      <c r="D20" s="94"/>
      <c r="E20" s="94"/>
      <c r="F20" s="94"/>
      <c r="G20" s="94" t="s">
        <v>46</v>
      </c>
      <c r="H20" s="94"/>
      <c r="I20" s="95">
        <v>44732</v>
      </c>
      <c r="J20" s="94"/>
      <c r="K20" s="152" t="s">
        <v>225</v>
      </c>
      <c r="L20" s="94"/>
      <c r="M20" s="94" t="s">
        <v>288</v>
      </c>
      <c r="N20" s="94"/>
      <c r="O20" s="94" t="s">
        <v>310</v>
      </c>
      <c r="P20" s="94"/>
      <c r="Q20" s="97">
        <v>243571.44</v>
      </c>
      <c r="R20" s="94"/>
      <c r="S20" s="213"/>
      <c r="T20" s="94"/>
      <c r="U20" s="97">
        <v>635131.98</v>
      </c>
    </row>
    <row r="21" spans="1:21">
      <c r="A21" s="94"/>
      <c r="B21" s="94"/>
      <c r="C21" s="94"/>
      <c r="D21" s="94"/>
      <c r="E21" s="94"/>
      <c r="F21" s="94"/>
      <c r="G21" s="94" t="s">
        <v>46</v>
      </c>
      <c r="H21" s="94"/>
      <c r="I21" s="95">
        <v>44735</v>
      </c>
      <c r="J21" s="94"/>
      <c r="K21" s="152" t="s">
        <v>128</v>
      </c>
      <c r="L21" s="94"/>
      <c r="M21" s="94" t="s">
        <v>290</v>
      </c>
      <c r="N21" s="94"/>
      <c r="O21" s="94" t="s">
        <v>309</v>
      </c>
      <c r="P21" s="94"/>
      <c r="Q21" s="97">
        <v>44620.28</v>
      </c>
      <c r="R21" s="94"/>
      <c r="S21" s="213"/>
      <c r="T21" s="94"/>
      <c r="U21" s="97">
        <v>679752.26</v>
      </c>
    </row>
    <row r="22" spans="1:21">
      <c r="A22" s="94"/>
      <c r="B22" s="94"/>
      <c r="C22" s="94"/>
      <c r="D22" s="94"/>
      <c r="E22" s="94"/>
      <c r="F22" s="94"/>
      <c r="G22" s="94" t="s">
        <v>42</v>
      </c>
      <c r="H22" s="94"/>
      <c r="I22" s="95">
        <v>44762</v>
      </c>
      <c r="J22" s="94"/>
      <c r="K22" s="152" t="s">
        <v>162</v>
      </c>
      <c r="L22" s="94"/>
      <c r="M22" s="94" t="s">
        <v>290</v>
      </c>
      <c r="N22" s="94"/>
      <c r="O22" s="94" t="s">
        <v>308</v>
      </c>
      <c r="P22" s="94"/>
      <c r="Q22" s="97"/>
      <c r="R22" s="94"/>
      <c r="S22" s="157">
        <v>44620.28</v>
      </c>
      <c r="T22" s="94"/>
      <c r="U22" s="97">
        <v>635131.98</v>
      </c>
    </row>
    <row r="23" spans="1:21">
      <c r="A23" s="94"/>
      <c r="B23" s="94"/>
      <c r="C23" s="94"/>
      <c r="D23" s="94"/>
      <c r="E23" s="94"/>
      <c r="F23" s="94"/>
      <c r="G23" s="94" t="s">
        <v>42</v>
      </c>
      <c r="H23" s="94"/>
      <c r="I23" s="95">
        <v>44762</v>
      </c>
      <c r="J23" s="94"/>
      <c r="K23" s="152" t="s">
        <v>195</v>
      </c>
      <c r="L23" s="94"/>
      <c r="M23" s="94" t="s">
        <v>289</v>
      </c>
      <c r="N23" s="94"/>
      <c r="O23" s="94" t="s">
        <v>194</v>
      </c>
      <c r="P23" s="94"/>
      <c r="Q23" s="97"/>
      <c r="R23" s="94"/>
      <c r="S23" s="157">
        <v>136753.68</v>
      </c>
      <c r="T23" s="94"/>
      <c r="U23" s="97">
        <v>498378.3</v>
      </c>
    </row>
    <row r="24" spans="1:21">
      <c r="A24" s="94"/>
      <c r="B24" s="94"/>
      <c r="C24" s="94"/>
      <c r="D24" s="94"/>
      <c r="E24" s="94"/>
      <c r="F24" s="94"/>
      <c r="G24" s="94" t="s">
        <v>42</v>
      </c>
      <c r="H24" s="94"/>
      <c r="I24" s="95">
        <v>44762</v>
      </c>
      <c r="J24" s="94"/>
      <c r="K24" s="152" t="s">
        <v>215</v>
      </c>
      <c r="L24" s="94"/>
      <c r="M24" s="94" t="s">
        <v>287</v>
      </c>
      <c r="N24" s="94"/>
      <c r="O24" s="94" t="s">
        <v>307</v>
      </c>
      <c r="P24" s="94"/>
      <c r="Q24" s="97"/>
      <c r="R24" s="94"/>
      <c r="S24" s="157">
        <v>254806.86</v>
      </c>
      <c r="T24" s="94"/>
      <c r="U24" s="97">
        <v>243571.44</v>
      </c>
    </row>
    <row r="25" spans="1:21">
      <c r="A25" s="94"/>
      <c r="B25" s="94"/>
      <c r="C25" s="94"/>
      <c r="D25" s="94"/>
      <c r="E25" s="94"/>
      <c r="F25" s="94"/>
      <c r="G25" s="94" t="s">
        <v>42</v>
      </c>
      <c r="H25" s="94"/>
      <c r="I25" s="95">
        <v>44762</v>
      </c>
      <c r="J25" s="94"/>
      <c r="K25" s="152" t="s">
        <v>232</v>
      </c>
      <c r="L25" s="94"/>
      <c r="M25" s="94" t="s">
        <v>288</v>
      </c>
      <c r="N25" s="94"/>
      <c r="O25" s="94" t="s">
        <v>306</v>
      </c>
      <c r="P25" s="94"/>
      <c r="Q25" s="97"/>
      <c r="R25" s="94"/>
      <c r="S25" s="157">
        <v>243571.44</v>
      </c>
      <c r="T25" s="94"/>
      <c r="U25" s="97">
        <v>0</v>
      </c>
    </row>
    <row r="26" spans="1:21">
      <c r="A26" s="94"/>
      <c r="B26" s="94"/>
      <c r="C26" s="94"/>
      <c r="D26" s="94"/>
      <c r="E26" s="94"/>
      <c r="F26" s="94"/>
      <c r="G26" s="94" t="s">
        <v>46</v>
      </c>
      <c r="H26" s="94"/>
      <c r="I26" s="95">
        <v>44770</v>
      </c>
      <c r="J26" s="94"/>
      <c r="K26" s="152" t="s">
        <v>173</v>
      </c>
      <c r="L26" s="94"/>
      <c r="M26" s="94" t="s">
        <v>289</v>
      </c>
      <c r="N26" s="94"/>
      <c r="O26" s="94" t="s">
        <v>305</v>
      </c>
      <c r="P26" s="94"/>
      <c r="Q26" s="97">
        <v>85322.16</v>
      </c>
      <c r="R26" s="94"/>
      <c r="S26" s="213"/>
      <c r="T26" s="94"/>
      <c r="U26" s="97">
        <v>85322.16</v>
      </c>
    </row>
    <row r="27" spans="1:21">
      <c r="A27" s="94"/>
      <c r="B27" s="94"/>
      <c r="C27" s="94"/>
      <c r="D27" s="94"/>
      <c r="E27" s="94"/>
      <c r="F27" s="94"/>
      <c r="G27" s="94" t="s">
        <v>46</v>
      </c>
      <c r="H27" s="94"/>
      <c r="I27" s="95">
        <v>44775</v>
      </c>
      <c r="J27" s="94"/>
      <c r="K27" s="152" t="s">
        <v>223</v>
      </c>
      <c r="L27" s="94"/>
      <c r="M27" s="94" t="s">
        <v>288</v>
      </c>
      <c r="N27" s="94"/>
      <c r="O27" s="94" t="s">
        <v>304</v>
      </c>
      <c r="P27" s="94"/>
      <c r="Q27" s="97">
        <v>295742.78999999998</v>
      </c>
      <c r="R27" s="94"/>
      <c r="S27" s="213"/>
      <c r="T27" s="94"/>
      <c r="U27" s="97">
        <v>381064.95</v>
      </c>
    </row>
    <row r="28" spans="1:21">
      <c r="A28" s="94"/>
      <c r="B28" s="94"/>
      <c r="C28" s="94"/>
      <c r="D28" s="94"/>
      <c r="E28" s="94"/>
      <c r="F28" s="94"/>
      <c r="G28" s="94" t="s">
        <v>46</v>
      </c>
      <c r="H28" s="94"/>
      <c r="I28" s="95">
        <v>44782</v>
      </c>
      <c r="J28" s="94"/>
      <c r="K28" s="152" t="s">
        <v>204</v>
      </c>
      <c r="L28" s="94"/>
      <c r="M28" s="94" t="s">
        <v>287</v>
      </c>
      <c r="N28" s="94"/>
      <c r="O28" s="94" t="s">
        <v>303</v>
      </c>
      <c r="P28" s="94"/>
      <c r="Q28" s="97">
        <v>380127.67</v>
      </c>
      <c r="R28" s="94"/>
      <c r="S28" s="213"/>
      <c r="T28" s="94"/>
      <c r="U28" s="97">
        <v>761192.62</v>
      </c>
    </row>
    <row r="29" spans="1:21">
      <c r="A29" s="94"/>
      <c r="B29" s="94"/>
      <c r="C29" s="94"/>
      <c r="D29" s="94"/>
      <c r="E29" s="94"/>
      <c r="F29" s="94"/>
      <c r="G29" s="94" t="s">
        <v>46</v>
      </c>
      <c r="H29" s="94"/>
      <c r="I29" s="95">
        <v>44795</v>
      </c>
      <c r="J29" s="94"/>
      <c r="K29" s="152" t="s">
        <v>221</v>
      </c>
      <c r="L29" s="94"/>
      <c r="M29" s="94" t="s">
        <v>288</v>
      </c>
      <c r="N29" s="94"/>
      <c r="O29" s="94" t="s">
        <v>302</v>
      </c>
      <c r="P29" s="94"/>
      <c r="Q29" s="97">
        <v>129546.51</v>
      </c>
      <c r="R29" s="94"/>
      <c r="S29" s="213"/>
      <c r="T29" s="94"/>
      <c r="U29" s="97">
        <v>890739.13</v>
      </c>
    </row>
    <row r="30" spans="1:21">
      <c r="A30" s="94"/>
      <c r="B30" s="94"/>
      <c r="C30" s="94"/>
      <c r="D30" s="94"/>
      <c r="E30" s="94"/>
      <c r="F30" s="94"/>
      <c r="G30" s="94" t="s">
        <v>42</v>
      </c>
      <c r="H30" s="94"/>
      <c r="I30" s="95">
        <v>44813</v>
      </c>
      <c r="J30" s="94"/>
      <c r="K30" s="152" t="s">
        <v>193</v>
      </c>
      <c r="L30" s="94"/>
      <c r="M30" s="94" t="s">
        <v>289</v>
      </c>
      <c r="N30" s="94"/>
      <c r="O30" s="94" t="s">
        <v>301</v>
      </c>
      <c r="P30" s="94"/>
      <c r="Q30" s="97"/>
      <c r="R30" s="94"/>
      <c r="S30" s="157">
        <v>85322.16</v>
      </c>
      <c r="T30" s="94"/>
      <c r="U30" s="97">
        <v>805416.97</v>
      </c>
    </row>
    <row r="31" spans="1:21">
      <c r="A31" s="94"/>
      <c r="B31" s="94"/>
      <c r="C31" s="94"/>
      <c r="D31" s="94"/>
      <c r="E31" s="94"/>
      <c r="F31" s="94"/>
      <c r="G31" s="94" t="s">
        <v>42</v>
      </c>
      <c r="H31" s="94"/>
      <c r="I31" s="95">
        <v>44813</v>
      </c>
      <c r="J31" s="94"/>
      <c r="K31" s="152" t="s">
        <v>230</v>
      </c>
      <c r="L31" s="94"/>
      <c r="M31" s="94" t="s">
        <v>288</v>
      </c>
      <c r="N31" s="94"/>
      <c r="O31" s="94" t="s">
        <v>300</v>
      </c>
      <c r="P31" s="94"/>
      <c r="Q31" s="97"/>
      <c r="R31" s="94"/>
      <c r="S31" s="157">
        <v>295742.78999999998</v>
      </c>
      <c r="T31" s="94"/>
      <c r="U31" s="97">
        <v>509674.18</v>
      </c>
    </row>
    <row r="32" spans="1:21">
      <c r="A32" s="94"/>
      <c r="B32" s="94"/>
      <c r="C32" s="94"/>
      <c r="D32" s="94"/>
      <c r="E32" s="94"/>
      <c r="F32" s="94"/>
      <c r="G32" s="94" t="s">
        <v>46</v>
      </c>
      <c r="H32" s="94"/>
      <c r="I32" s="95">
        <v>44819</v>
      </c>
      <c r="J32" s="94"/>
      <c r="K32" s="152" t="s">
        <v>200</v>
      </c>
      <c r="L32" s="94"/>
      <c r="M32" s="94" t="s">
        <v>287</v>
      </c>
      <c r="N32" s="94"/>
      <c r="O32" s="94" t="s">
        <v>56</v>
      </c>
      <c r="P32" s="94"/>
      <c r="Q32" s="97">
        <v>294906.21999999997</v>
      </c>
      <c r="R32" s="94"/>
      <c r="S32" s="213"/>
      <c r="T32" s="94"/>
      <c r="U32" s="97">
        <v>804580.4</v>
      </c>
    </row>
    <row r="33" spans="1:21">
      <c r="A33" s="94"/>
      <c r="B33" s="94"/>
      <c r="C33" s="94"/>
      <c r="D33" s="94"/>
      <c r="E33" s="94"/>
      <c r="F33" s="94"/>
      <c r="G33" s="94" t="s">
        <v>42</v>
      </c>
      <c r="H33" s="94"/>
      <c r="I33" s="95">
        <v>44819</v>
      </c>
      <c r="J33" s="94"/>
      <c r="K33" s="152" t="s">
        <v>209</v>
      </c>
      <c r="L33" s="94"/>
      <c r="M33" s="94" t="s">
        <v>287</v>
      </c>
      <c r="N33" s="94"/>
      <c r="O33" s="94" t="s">
        <v>55</v>
      </c>
      <c r="P33" s="94"/>
      <c r="Q33" s="97">
        <v>156421.21</v>
      </c>
      <c r="R33" s="94"/>
      <c r="S33" s="213"/>
      <c r="T33" s="94"/>
      <c r="U33" s="97">
        <v>961001.61</v>
      </c>
    </row>
    <row r="34" spans="1:21">
      <c r="A34" s="94"/>
      <c r="B34" s="94"/>
      <c r="C34" s="94"/>
      <c r="D34" s="94"/>
      <c r="E34" s="94"/>
      <c r="F34" s="94"/>
      <c r="G34" s="94" t="s">
        <v>42</v>
      </c>
      <c r="H34" s="94"/>
      <c r="I34" s="95">
        <v>44832</v>
      </c>
      <c r="J34" s="94"/>
      <c r="K34" s="152" t="s">
        <v>213</v>
      </c>
      <c r="L34" s="94"/>
      <c r="M34" s="94" t="s">
        <v>287</v>
      </c>
      <c r="N34" s="94"/>
      <c r="O34" s="94" t="s">
        <v>299</v>
      </c>
      <c r="P34" s="94"/>
      <c r="Q34" s="97"/>
      <c r="R34" s="94"/>
      <c r="S34" s="157">
        <v>380127.67</v>
      </c>
      <c r="T34" s="94"/>
      <c r="U34" s="97">
        <v>580873.93999999994</v>
      </c>
    </row>
    <row r="35" spans="1:21">
      <c r="A35" s="94"/>
      <c r="B35" s="94"/>
      <c r="C35" s="94"/>
      <c r="D35" s="94"/>
      <c r="E35" s="94"/>
      <c r="F35" s="94"/>
      <c r="G35" s="94" t="s">
        <v>42</v>
      </c>
      <c r="H35" s="94"/>
      <c r="I35" s="95">
        <v>44832</v>
      </c>
      <c r="J35" s="94"/>
      <c r="K35" s="152" t="s">
        <v>228</v>
      </c>
      <c r="L35" s="94"/>
      <c r="M35" s="94" t="s">
        <v>288</v>
      </c>
      <c r="N35" s="94"/>
      <c r="O35" s="94" t="s">
        <v>298</v>
      </c>
      <c r="P35" s="94"/>
      <c r="Q35" s="97"/>
      <c r="R35" s="94"/>
      <c r="S35" s="157">
        <v>129546.51</v>
      </c>
      <c r="T35" s="94"/>
      <c r="U35" s="97">
        <v>451327.43</v>
      </c>
    </row>
    <row r="36" spans="1:21">
      <c r="A36" s="94"/>
      <c r="B36" s="94"/>
      <c r="C36" s="94"/>
      <c r="D36" s="94"/>
      <c r="E36" s="94"/>
      <c r="F36" s="94"/>
      <c r="G36" s="94" t="s">
        <v>42</v>
      </c>
      <c r="H36" s="94"/>
      <c r="I36" s="95">
        <v>44866</v>
      </c>
      <c r="J36" s="94"/>
      <c r="K36" s="152" t="s">
        <v>211</v>
      </c>
      <c r="L36" s="94"/>
      <c r="M36" s="94" t="s">
        <v>287</v>
      </c>
      <c r="N36" s="94"/>
      <c r="O36" s="94" t="s">
        <v>297</v>
      </c>
      <c r="P36" s="94"/>
      <c r="Q36" s="97"/>
      <c r="R36" s="94"/>
      <c r="S36" s="157">
        <v>450248.65</v>
      </c>
      <c r="T36" s="94"/>
      <c r="U36" s="97">
        <v>1078.78</v>
      </c>
    </row>
    <row r="37" spans="1:21">
      <c r="A37" s="94"/>
      <c r="B37" s="94"/>
      <c r="C37" s="94"/>
      <c r="D37" s="94"/>
      <c r="E37" s="94"/>
      <c r="F37" s="94"/>
      <c r="G37" s="94" t="s">
        <v>46</v>
      </c>
      <c r="H37" s="94"/>
      <c r="I37" s="95">
        <v>44905</v>
      </c>
      <c r="J37" s="94"/>
      <c r="K37" s="152" t="s">
        <v>224</v>
      </c>
      <c r="L37" s="94"/>
      <c r="M37" s="94" t="s">
        <v>288</v>
      </c>
      <c r="N37" s="94"/>
      <c r="O37" s="94" t="s">
        <v>49</v>
      </c>
      <c r="P37" s="94"/>
      <c r="Q37" s="97">
        <v>227509.3</v>
      </c>
      <c r="R37" s="94"/>
      <c r="S37" s="213"/>
      <c r="T37" s="94"/>
      <c r="U37" s="97">
        <v>228588.08</v>
      </c>
    </row>
    <row r="38" spans="1:21">
      <c r="A38" s="94"/>
      <c r="B38" s="94"/>
      <c r="C38" s="94"/>
      <c r="D38" s="94"/>
      <c r="E38" s="94"/>
      <c r="F38" s="94"/>
      <c r="G38" s="94" t="s">
        <v>46</v>
      </c>
      <c r="H38" s="94"/>
      <c r="I38" s="95">
        <v>44910</v>
      </c>
      <c r="J38" s="94"/>
      <c r="K38" s="152" t="s">
        <v>127</v>
      </c>
      <c r="L38" s="94"/>
      <c r="M38" s="94" t="s">
        <v>290</v>
      </c>
      <c r="N38" s="94"/>
      <c r="O38" s="94" t="s">
        <v>48</v>
      </c>
      <c r="P38" s="94"/>
      <c r="Q38" s="97">
        <v>230389.47</v>
      </c>
      <c r="R38" s="94"/>
      <c r="S38" s="213"/>
      <c r="T38" s="94"/>
      <c r="U38" s="97">
        <v>458977.55</v>
      </c>
    </row>
    <row r="39" spans="1:21">
      <c r="A39" s="94"/>
      <c r="B39" s="94"/>
      <c r="C39" s="94"/>
      <c r="D39" s="94"/>
      <c r="E39" s="94"/>
      <c r="F39" s="94"/>
      <c r="G39" s="94" t="s">
        <v>46</v>
      </c>
      <c r="H39" s="94"/>
      <c r="I39" s="95">
        <v>44910</v>
      </c>
      <c r="J39" s="94"/>
      <c r="K39" s="152" t="s">
        <v>172</v>
      </c>
      <c r="L39" s="94"/>
      <c r="M39" s="94" t="s">
        <v>289</v>
      </c>
      <c r="N39" s="94"/>
      <c r="O39" s="94" t="s">
        <v>296</v>
      </c>
      <c r="P39" s="94"/>
      <c r="Q39" s="97">
        <v>225289.68</v>
      </c>
      <c r="R39" s="94"/>
      <c r="S39" s="213"/>
      <c r="T39" s="94"/>
      <c r="U39" s="97">
        <v>684267.23</v>
      </c>
    </row>
    <row r="40" spans="1:21">
      <c r="A40" s="94"/>
      <c r="B40" s="94"/>
      <c r="C40" s="94"/>
      <c r="D40" s="94"/>
      <c r="E40" s="94"/>
      <c r="F40" s="94"/>
      <c r="G40" s="94" t="s">
        <v>46</v>
      </c>
      <c r="H40" s="94"/>
      <c r="I40" s="95">
        <v>44915</v>
      </c>
      <c r="J40" s="94"/>
      <c r="K40" s="152" t="s">
        <v>171</v>
      </c>
      <c r="L40" s="94"/>
      <c r="M40" s="94" t="s">
        <v>289</v>
      </c>
      <c r="N40" s="94"/>
      <c r="O40" s="94" t="s">
        <v>45</v>
      </c>
      <c r="P40" s="94"/>
      <c r="Q40" s="97">
        <v>146813.51999999999</v>
      </c>
      <c r="R40" s="94"/>
      <c r="S40" s="213"/>
      <c r="T40" s="94"/>
      <c r="U40" s="97">
        <v>831080.75</v>
      </c>
    </row>
    <row r="41" spans="1:21">
      <c r="A41" s="94"/>
      <c r="B41" s="94"/>
      <c r="C41" s="94"/>
      <c r="D41" s="94"/>
      <c r="E41" s="94"/>
      <c r="F41" s="94"/>
      <c r="G41" s="94" t="s">
        <v>42</v>
      </c>
      <c r="H41" s="94"/>
      <c r="I41" s="95">
        <v>44937</v>
      </c>
      <c r="J41" s="94"/>
      <c r="K41" s="152" t="s">
        <v>191</v>
      </c>
      <c r="L41" s="94"/>
      <c r="M41" s="94" t="s">
        <v>289</v>
      </c>
      <c r="N41" s="94"/>
      <c r="O41" s="94" t="s">
        <v>295</v>
      </c>
      <c r="P41" s="94"/>
      <c r="Q41" s="97"/>
      <c r="R41" s="94"/>
      <c r="S41" s="157">
        <v>225289.68</v>
      </c>
      <c r="T41" s="94"/>
      <c r="U41" s="97">
        <v>605791.06999999995</v>
      </c>
    </row>
    <row r="42" spans="1:21">
      <c r="A42" s="94"/>
      <c r="B42" s="94"/>
      <c r="C42" s="94"/>
      <c r="D42" s="94"/>
      <c r="E42" s="94"/>
      <c r="F42" s="94"/>
      <c r="G42" s="94" t="s">
        <v>42</v>
      </c>
      <c r="H42" s="94"/>
      <c r="I42" s="95">
        <v>44937</v>
      </c>
      <c r="J42" s="94"/>
      <c r="K42" s="152" t="s">
        <v>160</v>
      </c>
      <c r="L42" s="94"/>
      <c r="M42" s="94" t="s">
        <v>290</v>
      </c>
      <c r="N42" s="94"/>
      <c r="O42" s="94" t="s">
        <v>294</v>
      </c>
      <c r="P42" s="94"/>
      <c r="Q42" s="97"/>
      <c r="R42" s="94"/>
      <c r="S42" s="157">
        <v>230389.47</v>
      </c>
      <c r="T42" s="94"/>
      <c r="U42" s="97">
        <v>375401.6</v>
      </c>
    </row>
    <row r="43" spans="1:21">
      <c r="A43" s="94"/>
      <c r="B43" s="94"/>
      <c r="C43" s="94"/>
      <c r="D43" s="94"/>
      <c r="E43" s="94"/>
      <c r="F43" s="94"/>
      <c r="G43" s="94" t="s">
        <v>42</v>
      </c>
      <c r="H43" s="94"/>
      <c r="I43" s="95">
        <v>44966</v>
      </c>
      <c r="J43" s="94"/>
      <c r="K43" s="152" t="s">
        <v>158</v>
      </c>
      <c r="L43" s="94"/>
      <c r="M43" s="94" t="s">
        <v>290</v>
      </c>
      <c r="N43" s="94"/>
      <c r="O43" s="94" t="s">
        <v>157</v>
      </c>
      <c r="P43" s="94"/>
      <c r="Q43" s="97">
        <v>36000</v>
      </c>
      <c r="R43" s="94"/>
      <c r="S43" s="213"/>
      <c r="T43" s="94"/>
      <c r="U43" s="97">
        <v>411401.6</v>
      </c>
    </row>
    <row r="44" spans="1:21">
      <c r="A44" s="94"/>
      <c r="B44" s="94"/>
      <c r="C44" s="94"/>
      <c r="D44" s="94"/>
      <c r="E44" s="94"/>
      <c r="F44" s="94"/>
      <c r="G44" s="94" t="s">
        <v>42</v>
      </c>
      <c r="H44" s="94"/>
      <c r="I44" s="95">
        <v>44971</v>
      </c>
      <c r="J44" s="94"/>
      <c r="K44" s="152" t="s">
        <v>189</v>
      </c>
      <c r="L44" s="94"/>
      <c r="M44" s="94" t="s">
        <v>289</v>
      </c>
      <c r="N44" s="94"/>
      <c r="O44" s="94" t="s">
        <v>293</v>
      </c>
      <c r="P44" s="94"/>
      <c r="Q44" s="97"/>
      <c r="R44" s="94"/>
      <c r="S44" s="157">
        <v>146813.51999999999</v>
      </c>
      <c r="T44" s="94"/>
      <c r="U44" s="97">
        <v>264588.08</v>
      </c>
    </row>
    <row r="45" spans="1:21">
      <c r="A45" s="94"/>
      <c r="B45" s="94"/>
      <c r="C45" s="94"/>
      <c r="D45" s="94"/>
      <c r="E45" s="94"/>
      <c r="F45" s="94"/>
      <c r="G45" s="94" t="s">
        <v>46</v>
      </c>
      <c r="H45" s="94"/>
      <c r="I45" s="95">
        <v>45001</v>
      </c>
      <c r="J45" s="94"/>
      <c r="K45" s="152" t="s">
        <v>170</v>
      </c>
      <c r="L45" s="94"/>
      <c r="M45" s="94" t="s">
        <v>289</v>
      </c>
      <c r="N45" s="94"/>
      <c r="O45" s="94" t="s">
        <v>187</v>
      </c>
      <c r="P45" s="94"/>
      <c r="Q45" s="97">
        <v>175812</v>
      </c>
      <c r="R45" s="94"/>
      <c r="S45" s="213"/>
      <c r="T45" s="94"/>
      <c r="U45" s="97">
        <v>440400.08</v>
      </c>
    </row>
    <row r="46" spans="1:21">
      <c r="A46" s="94"/>
      <c r="B46" s="94"/>
      <c r="C46" s="94"/>
      <c r="D46" s="94"/>
      <c r="E46" s="94"/>
      <c r="F46" s="94"/>
      <c r="G46" s="94" t="s">
        <v>80</v>
      </c>
      <c r="H46" s="94"/>
      <c r="I46" s="95">
        <v>45051</v>
      </c>
      <c r="J46" s="94"/>
      <c r="K46" s="152" t="s">
        <v>156</v>
      </c>
      <c r="L46" s="94"/>
      <c r="M46" s="94" t="s">
        <v>290</v>
      </c>
      <c r="N46" s="94"/>
      <c r="O46" s="94" t="s">
        <v>155</v>
      </c>
      <c r="P46" s="94"/>
      <c r="Q46" s="97"/>
      <c r="R46" s="94"/>
      <c r="S46" s="217">
        <v>50000</v>
      </c>
      <c r="T46" s="94"/>
      <c r="U46" s="97">
        <v>390400.08</v>
      </c>
    </row>
    <row r="47" spans="1:21">
      <c r="A47" s="94"/>
      <c r="B47" s="94"/>
      <c r="C47" s="94"/>
      <c r="D47" s="94"/>
      <c r="E47" s="94"/>
      <c r="F47" s="94"/>
      <c r="G47" s="94" t="s">
        <v>80</v>
      </c>
      <c r="H47" s="94"/>
      <c r="I47" s="95">
        <v>45051</v>
      </c>
      <c r="J47" s="94"/>
      <c r="K47" s="152" t="s">
        <v>154</v>
      </c>
      <c r="L47" s="94"/>
      <c r="M47" s="94" t="s">
        <v>290</v>
      </c>
      <c r="N47" s="94"/>
      <c r="O47" s="94" t="s">
        <v>153</v>
      </c>
      <c r="P47" s="94"/>
      <c r="Q47" s="97"/>
      <c r="R47" s="94"/>
      <c r="S47" s="217">
        <v>250000</v>
      </c>
      <c r="T47" s="94"/>
      <c r="U47" s="97">
        <v>140400.07999999999</v>
      </c>
    </row>
    <row r="48" spans="1:21">
      <c r="A48" s="94"/>
      <c r="B48" s="94"/>
      <c r="C48" s="94"/>
      <c r="D48" s="94"/>
      <c r="E48" s="94"/>
      <c r="F48" s="94"/>
      <c r="G48" s="94" t="s">
        <v>80</v>
      </c>
      <c r="H48" s="94"/>
      <c r="I48" s="95">
        <v>45056</v>
      </c>
      <c r="J48" s="94"/>
      <c r="K48" s="152" t="s">
        <v>186</v>
      </c>
      <c r="L48" s="94"/>
      <c r="M48" s="94" t="s">
        <v>289</v>
      </c>
      <c r="N48" s="94"/>
      <c r="O48" s="94" t="s">
        <v>292</v>
      </c>
      <c r="P48" s="94"/>
      <c r="Q48" s="97"/>
      <c r="R48" s="94"/>
      <c r="S48" s="216">
        <v>689850</v>
      </c>
      <c r="T48" s="94"/>
      <c r="U48" s="97">
        <v>-549449.92000000004</v>
      </c>
    </row>
    <row r="49" spans="1:21">
      <c r="A49" s="94"/>
      <c r="B49" s="94"/>
      <c r="C49" s="94"/>
      <c r="D49" s="94"/>
      <c r="E49" s="94"/>
      <c r="F49" s="94"/>
      <c r="G49" s="94" t="s">
        <v>80</v>
      </c>
      <c r="H49" s="94"/>
      <c r="I49" s="95">
        <v>45061</v>
      </c>
      <c r="J49" s="94"/>
      <c r="K49" s="152" t="s">
        <v>152</v>
      </c>
      <c r="L49" s="94"/>
      <c r="M49" s="94" t="s">
        <v>290</v>
      </c>
      <c r="N49" s="94"/>
      <c r="O49" s="94" t="s">
        <v>291</v>
      </c>
      <c r="P49" s="94"/>
      <c r="Q49" s="97"/>
      <c r="R49" s="94"/>
      <c r="S49" s="216">
        <v>70233.3</v>
      </c>
      <c r="T49" s="94"/>
      <c r="U49" s="97">
        <v>-619683.22</v>
      </c>
    </row>
    <row r="50" spans="1:21">
      <c r="A50" s="94"/>
      <c r="B50" s="94"/>
      <c r="C50" s="94"/>
      <c r="D50" s="94"/>
      <c r="E50" s="94"/>
      <c r="F50" s="94"/>
      <c r="G50" s="94" t="s">
        <v>80</v>
      </c>
      <c r="H50" s="94"/>
      <c r="I50" s="95">
        <v>45061</v>
      </c>
      <c r="J50" s="94"/>
      <c r="K50" s="152" t="s">
        <v>152</v>
      </c>
      <c r="L50" s="94"/>
      <c r="M50" s="94" t="s">
        <v>289</v>
      </c>
      <c r="N50" s="94"/>
      <c r="O50" s="94" t="s">
        <v>291</v>
      </c>
      <c r="P50" s="94"/>
      <c r="Q50" s="97"/>
      <c r="R50" s="94"/>
      <c r="S50" s="216">
        <v>552503.69999999995</v>
      </c>
      <c r="T50" s="94"/>
      <c r="U50" s="97">
        <v>-1172186.92</v>
      </c>
    </row>
    <row r="51" spans="1:21">
      <c r="A51" s="94"/>
      <c r="B51" s="94"/>
      <c r="C51" s="94"/>
      <c r="D51" s="94"/>
      <c r="E51" s="94"/>
      <c r="F51" s="94"/>
      <c r="G51" s="94" t="s">
        <v>80</v>
      </c>
      <c r="H51" s="94"/>
      <c r="I51" s="95">
        <v>45061</v>
      </c>
      <c r="J51" s="94"/>
      <c r="K51" s="152" t="s">
        <v>152</v>
      </c>
      <c r="L51" s="94"/>
      <c r="M51" s="94" t="s">
        <v>287</v>
      </c>
      <c r="N51" s="94"/>
      <c r="O51" s="94" t="s">
        <v>291</v>
      </c>
      <c r="P51" s="94"/>
      <c r="Q51" s="97"/>
      <c r="R51" s="94"/>
      <c r="S51" s="216">
        <v>1078.78</v>
      </c>
      <c r="T51" s="94"/>
      <c r="U51" s="97">
        <v>-1173265.7</v>
      </c>
    </row>
    <row r="52" spans="1:21">
      <c r="A52" s="94"/>
      <c r="B52" s="94"/>
      <c r="C52" s="94"/>
      <c r="D52" s="94"/>
      <c r="E52" s="94"/>
      <c r="F52" s="94"/>
      <c r="G52" s="94" t="s">
        <v>80</v>
      </c>
      <c r="H52" s="94"/>
      <c r="I52" s="95">
        <v>45061</v>
      </c>
      <c r="J52" s="94"/>
      <c r="K52" s="152" t="s">
        <v>152</v>
      </c>
      <c r="L52" s="94"/>
      <c r="M52" s="94" t="s">
        <v>288</v>
      </c>
      <c r="N52" s="94"/>
      <c r="O52" s="94" t="s">
        <v>291</v>
      </c>
      <c r="P52" s="94"/>
      <c r="Q52" s="97"/>
      <c r="R52" s="94"/>
      <c r="S52" s="216">
        <v>227509.3</v>
      </c>
      <c r="T52" s="94"/>
      <c r="U52" s="97">
        <v>-1400775</v>
      </c>
    </row>
    <row r="53" spans="1:21">
      <c r="A53" s="94"/>
      <c r="B53" s="94"/>
      <c r="C53" s="94"/>
      <c r="D53" s="94"/>
      <c r="E53" s="94"/>
      <c r="F53" s="94"/>
      <c r="G53" s="94" t="s">
        <v>46</v>
      </c>
      <c r="H53" s="94"/>
      <c r="I53" s="95">
        <v>45078</v>
      </c>
      <c r="J53" s="94"/>
      <c r="K53" s="152" t="s">
        <v>169</v>
      </c>
      <c r="L53" s="94"/>
      <c r="M53" s="94" t="s">
        <v>289</v>
      </c>
      <c r="N53" s="94"/>
      <c r="O53" s="94" t="s">
        <v>184</v>
      </c>
      <c r="P53" s="94"/>
      <c r="Q53" s="97">
        <v>689850</v>
      </c>
      <c r="R53" s="94"/>
      <c r="S53" s="213"/>
      <c r="T53" s="94"/>
      <c r="U53" s="97">
        <v>-710925</v>
      </c>
    </row>
    <row r="54" spans="1:21">
      <c r="A54" s="94"/>
      <c r="B54" s="94"/>
      <c r="C54" s="94"/>
      <c r="D54" s="94"/>
      <c r="E54" s="94"/>
      <c r="F54" s="94"/>
      <c r="G54" s="94" t="s">
        <v>42</v>
      </c>
      <c r="H54" s="94"/>
      <c r="I54" s="95">
        <v>45078</v>
      </c>
      <c r="J54" s="94"/>
      <c r="K54" s="152" t="s">
        <v>177</v>
      </c>
      <c r="L54" s="94"/>
      <c r="M54" s="94" t="s">
        <v>289</v>
      </c>
      <c r="N54" s="94"/>
      <c r="O54" s="94" t="s">
        <v>176</v>
      </c>
      <c r="P54" s="94"/>
      <c r="Q54" s="97">
        <v>272750.09999999998</v>
      </c>
      <c r="R54" s="94"/>
      <c r="S54" s="213"/>
      <c r="T54" s="94"/>
      <c r="U54" s="97">
        <v>-438174.9</v>
      </c>
    </row>
    <row r="55" spans="1:21">
      <c r="A55" s="94"/>
      <c r="B55" s="94"/>
      <c r="C55" s="94"/>
      <c r="D55" s="94"/>
      <c r="E55" s="94"/>
      <c r="F55" s="94"/>
      <c r="G55" s="94" t="s">
        <v>46</v>
      </c>
      <c r="H55" s="94"/>
      <c r="I55" s="95">
        <v>45078</v>
      </c>
      <c r="J55" s="94"/>
      <c r="K55" s="152" t="s">
        <v>126</v>
      </c>
      <c r="L55" s="94"/>
      <c r="M55" s="94" t="s">
        <v>290</v>
      </c>
      <c r="N55" s="94"/>
      <c r="O55" s="94" t="s">
        <v>150</v>
      </c>
      <c r="P55" s="94"/>
      <c r="Q55" s="97">
        <v>368550</v>
      </c>
      <c r="R55" s="94"/>
      <c r="S55" s="213"/>
      <c r="T55" s="94"/>
      <c r="U55" s="97">
        <v>-69624.899999999994</v>
      </c>
    </row>
    <row r="56" spans="1:21">
      <c r="A56" s="94"/>
      <c r="B56" s="94"/>
      <c r="C56" s="94"/>
      <c r="D56" s="94"/>
      <c r="E56" s="94"/>
      <c r="F56" s="94"/>
      <c r="G56" s="94" t="s">
        <v>46</v>
      </c>
      <c r="H56" s="94"/>
      <c r="I56" s="95">
        <v>45082</v>
      </c>
      <c r="J56" s="94"/>
      <c r="K56" s="152" t="s">
        <v>168</v>
      </c>
      <c r="L56" s="94"/>
      <c r="M56" s="94" t="s">
        <v>289</v>
      </c>
      <c r="N56" s="94"/>
      <c r="O56" s="94" t="s">
        <v>183</v>
      </c>
      <c r="P56" s="94"/>
      <c r="Q56" s="97">
        <v>103941.6</v>
      </c>
      <c r="R56" s="94"/>
      <c r="S56" s="213"/>
      <c r="T56" s="94"/>
      <c r="U56" s="97">
        <v>34316.699999999997</v>
      </c>
    </row>
    <row r="57" spans="1:21" ht="15.75" thickBot="1">
      <c r="A57" s="94"/>
      <c r="B57" s="94"/>
      <c r="C57" s="94"/>
      <c r="D57" s="94"/>
      <c r="E57" s="94"/>
      <c r="F57" s="94"/>
      <c r="G57" s="94" t="s">
        <v>46</v>
      </c>
      <c r="H57" s="94"/>
      <c r="I57" s="95">
        <v>45082</v>
      </c>
      <c r="J57" s="94"/>
      <c r="K57" s="152" t="s">
        <v>167</v>
      </c>
      <c r="L57" s="94"/>
      <c r="M57" s="94" t="s">
        <v>289</v>
      </c>
      <c r="N57" s="94"/>
      <c r="O57" s="94" t="s">
        <v>182</v>
      </c>
      <c r="P57" s="94"/>
      <c r="Q57" s="99">
        <v>361399.5</v>
      </c>
      <c r="R57" s="94"/>
      <c r="S57" s="215"/>
      <c r="T57" s="94"/>
      <c r="U57" s="99">
        <v>395716.2</v>
      </c>
    </row>
    <row r="58" spans="1:21" s="100" customFormat="1">
      <c r="A58" s="90"/>
      <c r="B58" s="90" t="s">
        <v>149</v>
      </c>
      <c r="C58" s="90"/>
      <c r="D58" s="90"/>
      <c r="E58" s="90"/>
      <c r="F58" s="90"/>
      <c r="G58" s="90"/>
      <c r="H58" s="90"/>
      <c r="I58" s="91"/>
      <c r="J58" s="90"/>
      <c r="K58" s="156"/>
      <c r="L58" s="90"/>
      <c r="M58" s="90"/>
      <c r="N58" s="90"/>
      <c r="O58" s="90"/>
      <c r="P58" s="90"/>
      <c r="Q58" s="98">
        <v>6097341.4699999997</v>
      </c>
      <c r="R58" s="90"/>
      <c r="S58" s="214">
        <v>5701625.2699999996</v>
      </c>
      <c r="T58" s="90"/>
      <c r="U58" s="98">
        <v>395716.2</v>
      </c>
    </row>
    <row r="59" spans="1:21" hidden="1">
      <c r="A59" s="90"/>
      <c r="B59" s="90" t="s">
        <v>148</v>
      </c>
      <c r="C59" s="90"/>
      <c r="D59" s="90"/>
      <c r="E59" s="90"/>
      <c r="F59" s="90"/>
      <c r="G59" s="90"/>
      <c r="H59" s="90"/>
      <c r="I59" s="91"/>
      <c r="J59" s="90"/>
      <c r="K59" s="156"/>
      <c r="L59" s="90"/>
      <c r="M59" s="90"/>
      <c r="N59" s="90"/>
      <c r="O59" s="90"/>
      <c r="P59" s="90"/>
      <c r="Q59" s="98"/>
      <c r="R59" s="90"/>
      <c r="S59" s="214"/>
      <c r="T59" s="90"/>
      <c r="U59" s="98"/>
    </row>
    <row r="60" spans="1:21" hidden="1">
      <c r="A60" s="94"/>
      <c r="B60" s="94"/>
      <c r="C60" s="94"/>
      <c r="D60" s="94"/>
      <c r="E60" s="94"/>
      <c r="F60" s="94"/>
      <c r="G60" s="94" t="s">
        <v>46</v>
      </c>
      <c r="H60" s="94"/>
      <c r="I60" s="95">
        <v>44653</v>
      </c>
      <c r="J60" s="94"/>
      <c r="K60" s="152" t="s">
        <v>134</v>
      </c>
      <c r="L60" s="94"/>
      <c r="M60" s="94" t="s">
        <v>290</v>
      </c>
      <c r="N60" s="94"/>
      <c r="O60" s="94" t="s">
        <v>143</v>
      </c>
      <c r="P60" s="94"/>
      <c r="Q60" s="97">
        <v>25343.75</v>
      </c>
      <c r="R60" s="94"/>
      <c r="S60" s="213"/>
      <c r="T60" s="94"/>
      <c r="U60" s="97">
        <v>25343.75</v>
      </c>
    </row>
    <row r="61" spans="1:21" hidden="1">
      <c r="A61" s="94"/>
      <c r="B61" s="94"/>
      <c r="C61" s="94"/>
      <c r="D61" s="94"/>
      <c r="E61" s="94"/>
      <c r="F61" s="94"/>
      <c r="G61" s="94" t="s">
        <v>46</v>
      </c>
      <c r="H61" s="94"/>
      <c r="I61" s="95">
        <v>44653</v>
      </c>
      <c r="J61" s="94"/>
      <c r="K61" s="152" t="s">
        <v>134</v>
      </c>
      <c r="L61" s="94"/>
      <c r="M61" s="94" t="s">
        <v>290</v>
      </c>
      <c r="N61" s="94"/>
      <c r="O61" s="94" t="s">
        <v>147</v>
      </c>
      <c r="P61" s="94"/>
      <c r="Q61" s="97">
        <v>25343.75</v>
      </c>
      <c r="R61" s="94"/>
      <c r="S61" s="213"/>
      <c r="T61" s="94"/>
      <c r="U61" s="97">
        <v>50687.5</v>
      </c>
    </row>
    <row r="62" spans="1:21" hidden="1">
      <c r="A62" s="94"/>
      <c r="B62" s="94"/>
      <c r="C62" s="94"/>
      <c r="D62" s="94"/>
      <c r="E62" s="94"/>
      <c r="F62" s="94"/>
      <c r="G62" s="94" t="s">
        <v>46</v>
      </c>
      <c r="H62" s="94"/>
      <c r="I62" s="95">
        <v>44658</v>
      </c>
      <c r="J62" s="94"/>
      <c r="K62" s="152" t="s">
        <v>132</v>
      </c>
      <c r="L62" s="94"/>
      <c r="M62" s="94" t="s">
        <v>290</v>
      </c>
      <c r="N62" s="94"/>
      <c r="O62" s="94" t="s">
        <v>143</v>
      </c>
      <c r="P62" s="94"/>
      <c r="Q62" s="97">
        <v>11234.21</v>
      </c>
      <c r="R62" s="94"/>
      <c r="S62" s="213"/>
      <c r="T62" s="94"/>
      <c r="U62" s="97">
        <v>61921.71</v>
      </c>
    </row>
    <row r="63" spans="1:21" hidden="1">
      <c r="A63" s="94"/>
      <c r="B63" s="94"/>
      <c r="C63" s="94"/>
      <c r="D63" s="94"/>
      <c r="E63" s="94"/>
      <c r="F63" s="94"/>
      <c r="G63" s="94" t="s">
        <v>46</v>
      </c>
      <c r="H63" s="94"/>
      <c r="I63" s="95">
        <v>44658</v>
      </c>
      <c r="J63" s="94"/>
      <c r="K63" s="152" t="s">
        <v>132</v>
      </c>
      <c r="L63" s="94"/>
      <c r="M63" s="94" t="s">
        <v>290</v>
      </c>
      <c r="N63" s="94"/>
      <c r="O63" s="94" t="s">
        <v>146</v>
      </c>
      <c r="P63" s="94"/>
      <c r="Q63" s="97">
        <v>11234.21</v>
      </c>
      <c r="R63" s="94"/>
      <c r="S63" s="213"/>
      <c r="T63" s="94"/>
      <c r="U63" s="97">
        <v>73155.92</v>
      </c>
    </row>
    <row r="64" spans="1:21" hidden="1">
      <c r="A64" s="94"/>
      <c r="B64" s="94"/>
      <c r="C64" s="94"/>
      <c r="D64" s="94"/>
      <c r="E64" s="94"/>
      <c r="F64" s="94"/>
      <c r="G64" s="94" t="s">
        <v>46</v>
      </c>
      <c r="H64" s="94"/>
      <c r="I64" s="95">
        <v>44694</v>
      </c>
      <c r="J64" s="94"/>
      <c r="K64" s="152" t="s">
        <v>130</v>
      </c>
      <c r="L64" s="94"/>
      <c r="M64" s="94" t="s">
        <v>290</v>
      </c>
      <c r="N64" s="94"/>
      <c r="O64" s="94" t="s">
        <v>143</v>
      </c>
      <c r="P64" s="94"/>
      <c r="Q64" s="97">
        <v>25582.78</v>
      </c>
      <c r="R64" s="94"/>
      <c r="S64" s="213"/>
      <c r="T64" s="94"/>
      <c r="U64" s="97">
        <v>98738.7</v>
      </c>
    </row>
    <row r="65" spans="1:21" hidden="1">
      <c r="A65" s="94"/>
      <c r="B65" s="94"/>
      <c r="C65" s="94"/>
      <c r="D65" s="94"/>
      <c r="E65" s="94"/>
      <c r="F65" s="94"/>
      <c r="G65" s="94" t="s">
        <v>46</v>
      </c>
      <c r="H65" s="94"/>
      <c r="I65" s="95">
        <v>44694</v>
      </c>
      <c r="J65" s="94"/>
      <c r="K65" s="152" t="s">
        <v>130</v>
      </c>
      <c r="L65" s="94"/>
      <c r="M65" s="94" t="s">
        <v>290</v>
      </c>
      <c r="N65" s="94"/>
      <c r="O65" s="94" t="s">
        <v>145</v>
      </c>
      <c r="P65" s="94"/>
      <c r="Q65" s="97">
        <v>25582.78</v>
      </c>
      <c r="R65" s="94"/>
      <c r="S65" s="213"/>
      <c r="T65" s="94"/>
      <c r="U65" s="97">
        <v>124321.48</v>
      </c>
    </row>
    <row r="66" spans="1:21" hidden="1">
      <c r="A66" s="94"/>
      <c r="B66" s="94"/>
      <c r="C66" s="94"/>
      <c r="D66" s="94"/>
      <c r="E66" s="94"/>
      <c r="F66" s="94"/>
      <c r="G66" s="94" t="s">
        <v>46</v>
      </c>
      <c r="H66" s="94"/>
      <c r="I66" s="95">
        <v>44694</v>
      </c>
      <c r="J66" s="94"/>
      <c r="K66" s="152" t="s">
        <v>175</v>
      </c>
      <c r="L66" s="94"/>
      <c r="M66" s="94" t="s">
        <v>289</v>
      </c>
      <c r="N66" s="94"/>
      <c r="O66" s="94" t="s">
        <v>143</v>
      </c>
      <c r="P66" s="94"/>
      <c r="Q66" s="97">
        <v>25841.4</v>
      </c>
      <c r="R66" s="94"/>
      <c r="S66" s="213"/>
      <c r="T66" s="94"/>
      <c r="U66" s="97">
        <v>150162.88</v>
      </c>
    </row>
    <row r="67" spans="1:21" hidden="1">
      <c r="A67" s="94"/>
      <c r="B67" s="94"/>
      <c r="C67" s="94"/>
      <c r="D67" s="94"/>
      <c r="E67" s="94"/>
      <c r="F67" s="94"/>
      <c r="G67" s="94" t="s">
        <v>46</v>
      </c>
      <c r="H67" s="94"/>
      <c r="I67" s="95">
        <v>44694</v>
      </c>
      <c r="J67" s="94"/>
      <c r="K67" s="152" t="s">
        <v>175</v>
      </c>
      <c r="L67" s="94"/>
      <c r="M67" s="94" t="s">
        <v>289</v>
      </c>
      <c r="N67" s="94"/>
      <c r="O67" s="94" t="s">
        <v>147</v>
      </c>
      <c r="P67" s="94"/>
      <c r="Q67" s="97">
        <v>25841.4</v>
      </c>
      <c r="R67" s="94"/>
      <c r="S67" s="213"/>
      <c r="T67" s="94"/>
      <c r="U67" s="97">
        <v>176004.28</v>
      </c>
    </row>
    <row r="68" spans="1:21" hidden="1">
      <c r="A68" s="94"/>
      <c r="B68" s="94"/>
      <c r="C68" s="94"/>
      <c r="D68" s="94"/>
      <c r="E68" s="94"/>
      <c r="F68" s="94"/>
      <c r="G68" s="94" t="s">
        <v>46</v>
      </c>
      <c r="H68" s="94"/>
      <c r="I68" s="95">
        <v>44694</v>
      </c>
      <c r="J68" s="94"/>
      <c r="K68" s="152" t="s">
        <v>208</v>
      </c>
      <c r="L68" s="94"/>
      <c r="M68" s="94" t="s">
        <v>287</v>
      </c>
      <c r="N68" s="94"/>
      <c r="O68" s="94" t="s">
        <v>143</v>
      </c>
      <c r="P68" s="94"/>
      <c r="Q68" s="97">
        <v>38277.25</v>
      </c>
      <c r="R68" s="94"/>
      <c r="S68" s="213"/>
      <c r="T68" s="94"/>
      <c r="U68" s="97">
        <v>214281.53</v>
      </c>
    </row>
    <row r="69" spans="1:21" hidden="1">
      <c r="A69" s="94"/>
      <c r="B69" s="94"/>
      <c r="C69" s="94"/>
      <c r="D69" s="94"/>
      <c r="E69" s="94"/>
      <c r="F69" s="94"/>
      <c r="G69" s="94" t="s">
        <v>46</v>
      </c>
      <c r="H69" s="94"/>
      <c r="I69" s="95">
        <v>44694</v>
      </c>
      <c r="J69" s="94"/>
      <c r="K69" s="152" t="s">
        <v>208</v>
      </c>
      <c r="L69" s="94"/>
      <c r="M69" s="94" t="s">
        <v>287</v>
      </c>
      <c r="N69" s="94"/>
      <c r="O69" s="94" t="s">
        <v>147</v>
      </c>
      <c r="P69" s="94"/>
      <c r="Q69" s="97">
        <v>38277.25</v>
      </c>
      <c r="R69" s="94"/>
      <c r="S69" s="213"/>
      <c r="T69" s="94"/>
      <c r="U69" s="97">
        <v>252558.78</v>
      </c>
    </row>
    <row r="70" spans="1:21" hidden="1">
      <c r="A70" s="94"/>
      <c r="B70" s="94"/>
      <c r="C70" s="94"/>
      <c r="D70" s="94"/>
      <c r="E70" s="94"/>
      <c r="F70" s="94"/>
      <c r="G70" s="94" t="s">
        <v>46</v>
      </c>
      <c r="H70" s="94"/>
      <c r="I70" s="95">
        <v>44694</v>
      </c>
      <c r="J70" s="94"/>
      <c r="K70" s="152" t="s">
        <v>226</v>
      </c>
      <c r="L70" s="94"/>
      <c r="M70" s="94" t="s">
        <v>288</v>
      </c>
      <c r="N70" s="94"/>
      <c r="O70" s="94" t="s">
        <v>143</v>
      </c>
      <c r="P70" s="94"/>
      <c r="Q70" s="97">
        <v>21008.400000000001</v>
      </c>
      <c r="R70" s="94"/>
      <c r="S70" s="213"/>
      <c r="T70" s="94"/>
      <c r="U70" s="97">
        <v>273567.18</v>
      </c>
    </row>
    <row r="71" spans="1:21" hidden="1">
      <c r="A71" s="94"/>
      <c r="B71" s="94"/>
      <c r="C71" s="94"/>
      <c r="D71" s="94"/>
      <c r="E71" s="94"/>
      <c r="F71" s="94"/>
      <c r="G71" s="94" t="s">
        <v>46</v>
      </c>
      <c r="H71" s="94"/>
      <c r="I71" s="95">
        <v>44694</v>
      </c>
      <c r="J71" s="94"/>
      <c r="K71" s="152" t="s">
        <v>226</v>
      </c>
      <c r="L71" s="94"/>
      <c r="M71" s="94" t="s">
        <v>288</v>
      </c>
      <c r="N71" s="94"/>
      <c r="O71" s="94" t="s">
        <v>147</v>
      </c>
      <c r="P71" s="94"/>
      <c r="Q71" s="97">
        <v>21008.400000000001</v>
      </c>
      <c r="R71" s="94"/>
      <c r="S71" s="213"/>
      <c r="T71" s="94"/>
      <c r="U71" s="97">
        <v>294575.58</v>
      </c>
    </row>
    <row r="72" spans="1:21" hidden="1">
      <c r="A72" s="94"/>
      <c r="B72" s="94"/>
      <c r="C72" s="94"/>
      <c r="D72" s="94"/>
      <c r="E72" s="94"/>
      <c r="F72" s="94"/>
      <c r="G72" s="94" t="s">
        <v>46</v>
      </c>
      <c r="H72" s="94"/>
      <c r="I72" s="95">
        <v>44732</v>
      </c>
      <c r="J72" s="94"/>
      <c r="K72" s="152" t="s">
        <v>174</v>
      </c>
      <c r="L72" s="94"/>
      <c r="M72" s="94" t="s">
        <v>289</v>
      </c>
      <c r="N72" s="94"/>
      <c r="O72" s="94" t="s">
        <v>143</v>
      </c>
      <c r="P72" s="94"/>
      <c r="Q72" s="97">
        <v>16280.2</v>
      </c>
      <c r="R72" s="94"/>
      <c r="S72" s="213"/>
      <c r="T72" s="94"/>
      <c r="U72" s="97">
        <v>310855.78000000003</v>
      </c>
    </row>
    <row r="73" spans="1:21" hidden="1">
      <c r="A73" s="94"/>
      <c r="B73" s="94"/>
      <c r="C73" s="94"/>
      <c r="D73" s="94"/>
      <c r="E73" s="94"/>
      <c r="F73" s="94"/>
      <c r="G73" s="94" t="s">
        <v>46</v>
      </c>
      <c r="H73" s="94"/>
      <c r="I73" s="95">
        <v>44732</v>
      </c>
      <c r="J73" s="94"/>
      <c r="K73" s="152" t="s">
        <v>174</v>
      </c>
      <c r="L73" s="94"/>
      <c r="M73" s="94" t="s">
        <v>289</v>
      </c>
      <c r="N73" s="94"/>
      <c r="O73" s="94" t="s">
        <v>146</v>
      </c>
      <c r="P73" s="94"/>
      <c r="Q73" s="97">
        <v>16280.2</v>
      </c>
      <c r="R73" s="94"/>
      <c r="S73" s="213"/>
      <c r="T73" s="94"/>
      <c r="U73" s="97">
        <v>327135.98</v>
      </c>
    </row>
    <row r="74" spans="1:21" hidden="1">
      <c r="A74" s="94"/>
      <c r="B74" s="94"/>
      <c r="C74" s="94"/>
      <c r="D74" s="94"/>
      <c r="E74" s="94"/>
      <c r="F74" s="94"/>
      <c r="G74" s="94" t="s">
        <v>46</v>
      </c>
      <c r="H74" s="94"/>
      <c r="I74" s="95">
        <v>44732</v>
      </c>
      <c r="J74" s="94"/>
      <c r="K74" s="152" t="s">
        <v>206</v>
      </c>
      <c r="L74" s="94"/>
      <c r="M74" s="94" t="s">
        <v>287</v>
      </c>
      <c r="N74" s="94"/>
      <c r="O74" s="94" t="s">
        <v>143</v>
      </c>
      <c r="P74" s="94"/>
      <c r="Q74" s="97">
        <v>30334.15</v>
      </c>
      <c r="R74" s="94"/>
      <c r="S74" s="213"/>
      <c r="T74" s="94"/>
      <c r="U74" s="97">
        <v>357470.13</v>
      </c>
    </row>
    <row r="75" spans="1:21" hidden="1">
      <c r="A75" s="94"/>
      <c r="B75" s="94"/>
      <c r="C75" s="94"/>
      <c r="D75" s="94"/>
      <c r="E75" s="94"/>
      <c r="F75" s="94"/>
      <c r="G75" s="94" t="s">
        <v>46</v>
      </c>
      <c r="H75" s="94"/>
      <c r="I75" s="95">
        <v>44732</v>
      </c>
      <c r="J75" s="94"/>
      <c r="K75" s="152" t="s">
        <v>206</v>
      </c>
      <c r="L75" s="94"/>
      <c r="M75" s="94" t="s">
        <v>287</v>
      </c>
      <c r="N75" s="94"/>
      <c r="O75" s="94" t="s">
        <v>146</v>
      </c>
      <c r="P75" s="94"/>
      <c r="Q75" s="97">
        <v>30334.15</v>
      </c>
      <c r="R75" s="94"/>
      <c r="S75" s="213"/>
      <c r="T75" s="94"/>
      <c r="U75" s="97">
        <v>387804.28</v>
      </c>
    </row>
    <row r="76" spans="1:21" hidden="1">
      <c r="A76" s="94"/>
      <c r="B76" s="94"/>
      <c r="C76" s="94"/>
      <c r="D76" s="94"/>
      <c r="E76" s="94"/>
      <c r="F76" s="94"/>
      <c r="G76" s="94" t="s">
        <v>46</v>
      </c>
      <c r="H76" s="94"/>
      <c r="I76" s="95">
        <v>44732</v>
      </c>
      <c r="J76" s="94"/>
      <c r="K76" s="152" t="s">
        <v>225</v>
      </c>
      <c r="L76" s="94"/>
      <c r="M76" s="94" t="s">
        <v>288</v>
      </c>
      <c r="N76" s="94"/>
      <c r="O76" s="94" t="s">
        <v>143</v>
      </c>
      <c r="P76" s="94"/>
      <c r="Q76" s="97">
        <v>28996.6</v>
      </c>
      <c r="R76" s="94"/>
      <c r="S76" s="213"/>
      <c r="T76" s="94"/>
      <c r="U76" s="97">
        <v>416800.88</v>
      </c>
    </row>
    <row r="77" spans="1:21" hidden="1">
      <c r="A77" s="94"/>
      <c r="B77" s="94"/>
      <c r="C77" s="94"/>
      <c r="D77" s="94"/>
      <c r="E77" s="94"/>
      <c r="F77" s="94"/>
      <c r="G77" s="94" t="s">
        <v>46</v>
      </c>
      <c r="H77" s="94"/>
      <c r="I77" s="95">
        <v>44732</v>
      </c>
      <c r="J77" s="94"/>
      <c r="K77" s="152" t="s">
        <v>225</v>
      </c>
      <c r="L77" s="94"/>
      <c r="M77" s="94" t="s">
        <v>288</v>
      </c>
      <c r="N77" s="94"/>
      <c r="O77" s="94" t="s">
        <v>146</v>
      </c>
      <c r="P77" s="94"/>
      <c r="Q77" s="97">
        <v>28996.6</v>
      </c>
      <c r="R77" s="94"/>
      <c r="S77" s="213"/>
      <c r="T77" s="94"/>
      <c r="U77" s="97">
        <v>445797.48</v>
      </c>
    </row>
    <row r="78" spans="1:21" hidden="1">
      <c r="A78" s="94"/>
      <c r="B78" s="94"/>
      <c r="C78" s="94"/>
      <c r="D78" s="94"/>
      <c r="E78" s="94"/>
      <c r="F78" s="94"/>
      <c r="G78" s="94" t="s">
        <v>46</v>
      </c>
      <c r="H78" s="94"/>
      <c r="I78" s="95">
        <v>44735</v>
      </c>
      <c r="J78" s="94"/>
      <c r="K78" s="152" t="s">
        <v>128</v>
      </c>
      <c r="L78" s="94"/>
      <c r="M78" s="94" t="s">
        <v>290</v>
      </c>
      <c r="N78" s="94"/>
      <c r="O78" s="94" t="s">
        <v>143</v>
      </c>
      <c r="P78" s="94"/>
      <c r="Q78" s="97">
        <v>5311.94</v>
      </c>
      <c r="R78" s="94"/>
      <c r="S78" s="213"/>
      <c r="T78" s="94"/>
      <c r="U78" s="97">
        <v>451109.42</v>
      </c>
    </row>
    <row r="79" spans="1:21" hidden="1">
      <c r="A79" s="94"/>
      <c r="B79" s="94"/>
      <c r="C79" s="94"/>
      <c r="D79" s="94"/>
      <c r="E79" s="94"/>
      <c r="F79" s="94"/>
      <c r="G79" s="94" t="s">
        <v>46</v>
      </c>
      <c r="H79" s="94"/>
      <c r="I79" s="95">
        <v>44735</v>
      </c>
      <c r="J79" s="94"/>
      <c r="K79" s="152" t="s">
        <v>128</v>
      </c>
      <c r="L79" s="94"/>
      <c r="M79" s="94" t="s">
        <v>290</v>
      </c>
      <c r="N79" s="94"/>
      <c r="O79" s="94" t="s">
        <v>144</v>
      </c>
      <c r="P79" s="94"/>
      <c r="Q79" s="97">
        <v>5311.94</v>
      </c>
      <c r="R79" s="94"/>
      <c r="S79" s="213"/>
      <c r="T79" s="94"/>
      <c r="U79" s="97">
        <v>456421.36</v>
      </c>
    </row>
    <row r="80" spans="1:21" hidden="1">
      <c r="A80" s="94"/>
      <c r="B80" s="94"/>
      <c r="C80" s="94"/>
      <c r="D80" s="94"/>
      <c r="E80" s="94"/>
      <c r="F80" s="94"/>
      <c r="G80" s="94" t="s">
        <v>46</v>
      </c>
      <c r="H80" s="94"/>
      <c r="I80" s="95">
        <v>44770</v>
      </c>
      <c r="J80" s="94"/>
      <c r="K80" s="152" t="s">
        <v>173</v>
      </c>
      <c r="L80" s="94"/>
      <c r="M80" s="94" t="s">
        <v>289</v>
      </c>
      <c r="N80" s="94"/>
      <c r="O80" s="94" t="s">
        <v>143</v>
      </c>
      <c r="P80" s="94"/>
      <c r="Q80" s="97">
        <v>10157.4</v>
      </c>
      <c r="R80" s="94"/>
      <c r="S80" s="213"/>
      <c r="T80" s="94"/>
      <c r="U80" s="97">
        <v>466578.76</v>
      </c>
    </row>
    <row r="81" spans="1:21" hidden="1">
      <c r="A81" s="94"/>
      <c r="B81" s="94"/>
      <c r="C81" s="94"/>
      <c r="D81" s="94"/>
      <c r="E81" s="94"/>
      <c r="F81" s="94"/>
      <c r="G81" s="94" t="s">
        <v>46</v>
      </c>
      <c r="H81" s="94"/>
      <c r="I81" s="95">
        <v>44770</v>
      </c>
      <c r="J81" s="94"/>
      <c r="K81" s="152" t="s">
        <v>173</v>
      </c>
      <c r="L81" s="94"/>
      <c r="M81" s="94" t="s">
        <v>289</v>
      </c>
      <c r="N81" s="94"/>
      <c r="O81" s="94" t="s">
        <v>145</v>
      </c>
      <c r="P81" s="94"/>
      <c r="Q81" s="97">
        <v>10157.4</v>
      </c>
      <c r="R81" s="94"/>
      <c r="S81" s="213"/>
      <c r="T81" s="94"/>
      <c r="U81" s="97">
        <v>476736.16</v>
      </c>
    </row>
    <row r="82" spans="1:21" hidden="1">
      <c r="A82" s="94"/>
      <c r="B82" s="94"/>
      <c r="C82" s="94"/>
      <c r="D82" s="94"/>
      <c r="E82" s="94"/>
      <c r="F82" s="94"/>
      <c r="G82" s="94" t="s">
        <v>46</v>
      </c>
      <c r="H82" s="94"/>
      <c r="I82" s="95">
        <v>44775</v>
      </c>
      <c r="J82" s="94"/>
      <c r="K82" s="152" t="s">
        <v>223</v>
      </c>
      <c r="L82" s="94"/>
      <c r="M82" s="94" t="s">
        <v>288</v>
      </c>
      <c r="N82" s="94"/>
      <c r="O82" s="94" t="s">
        <v>143</v>
      </c>
      <c r="P82" s="94"/>
      <c r="Q82" s="97">
        <v>35207.47</v>
      </c>
      <c r="R82" s="94"/>
      <c r="S82" s="213"/>
      <c r="T82" s="94"/>
      <c r="U82" s="97">
        <v>511943.63</v>
      </c>
    </row>
    <row r="83" spans="1:21" hidden="1">
      <c r="A83" s="94"/>
      <c r="B83" s="94"/>
      <c r="C83" s="94"/>
      <c r="D83" s="94"/>
      <c r="E83" s="94"/>
      <c r="F83" s="94"/>
      <c r="G83" s="94" t="s">
        <v>46</v>
      </c>
      <c r="H83" s="94"/>
      <c r="I83" s="95">
        <v>44775</v>
      </c>
      <c r="J83" s="94"/>
      <c r="K83" s="152" t="s">
        <v>223</v>
      </c>
      <c r="L83" s="94"/>
      <c r="M83" s="94" t="s">
        <v>288</v>
      </c>
      <c r="N83" s="94"/>
      <c r="O83" s="94" t="s">
        <v>145</v>
      </c>
      <c r="P83" s="94"/>
      <c r="Q83" s="97">
        <v>35207.47</v>
      </c>
      <c r="R83" s="94"/>
      <c r="S83" s="213"/>
      <c r="T83" s="94"/>
      <c r="U83" s="97">
        <v>547151.1</v>
      </c>
    </row>
    <row r="84" spans="1:21" hidden="1">
      <c r="A84" s="94"/>
      <c r="B84" s="94"/>
      <c r="C84" s="94"/>
      <c r="D84" s="94"/>
      <c r="E84" s="94"/>
      <c r="F84" s="94"/>
      <c r="G84" s="94" t="s">
        <v>46</v>
      </c>
      <c r="H84" s="94"/>
      <c r="I84" s="95">
        <v>44782</v>
      </c>
      <c r="J84" s="94"/>
      <c r="K84" s="152" t="s">
        <v>204</v>
      </c>
      <c r="L84" s="94"/>
      <c r="M84" s="94" t="s">
        <v>287</v>
      </c>
      <c r="N84" s="94"/>
      <c r="O84" s="94" t="s">
        <v>143</v>
      </c>
      <c r="P84" s="94"/>
      <c r="Q84" s="97">
        <v>45253.3</v>
      </c>
      <c r="R84" s="94"/>
      <c r="S84" s="213"/>
      <c r="T84" s="94"/>
      <c r="U84" s="97">
        <v>592404.4</v>
      </c>
    </row>
    <row r="85" spans="1:21" hidden="1">
      <c r="A85" s="94"/>
      <c r="B85" s="94"/>
      <c r="C85" s="94"/>
      <c r="D85" s="94"/>
      <c r="E85" s="94"/>
      <c r="F85" s="94"/>
      <c r="G85" s="94" t="s">
        <v>46</v>
      </c>
      <c r="H85" s="94"/>
      <c r="I85" s="95">
        <v>44782</v>
      </c>
      <c r="J85" s="94"/>
      <c r="K85" s="152" t="s">
        <v>204</v>
      </c>
      <c r="L85" s="94"/>
      <c r="M85" s="94" t="s">
        <v>287</v>
      </c>
      <c r="N85" s="94"/>
      <c r="O85" s="94" t="s">
        <v>145</v>
      </c>
      <c r="P85" s="94"/>
      <c r="Q85" s="97">
        <v>45253.3</v>
      </c>
      <c r="R85" s="94"/>
      <c r="S85" s="213"/>
      <c r="T85" s="94"/>
      <c r="U85" s="97">
        <v>637657.69999999995</v>
      </c>
    </row>
    <row r="86" spans="1:21" hidden="1">
      <c r="A86" s="94"/>
      <c r="B86" s="94"/>
      <c r="C86" s="94"/>
      <c r="D86" s="94"/>
      <c r="E86" s="94"/>
      <c r="F86" s="94"/>
      <c r="G86" s="94" t="s">
        <v>46</v>
      </c>
      <c r="H86" s="94"/>
      <c r="I86" s="95">
        <v>44795</v>
      </c>
      <c r="J86" s="94"/>
      <c r="K86" s="152" t="s">
        <v>221</v>
      </c>
      <c r="L86" s="94"/>
      <c r="M86" s="94" t="s">
        <v>288</v>
      </c>
      <c r="N86" s="94"/>
      <c r="O86" s="94" t="s">
        <v>143</v>
      </c>
      <c r="P86" s="94"/>
      <c r="Q86" s="97">
        <v>15422.2</v>
      </c>
      <c r="R86" s="94"/>
      <c r="S86" s="213"/>
      <c r="T86" s="94"/>
      <c r="U86" s="97">
        <v>653079.9</v>
      </c>
    </row>
    <row r="87" spans="1:21" hidden="1">
      <c r="A87" s="94"/>
      <c r="B87" s="94"/>
      <c r="C87" s="94"/>
      <c r="D87" s="94"/>
      <c r="E87" s="94"/>
      <c r="F87" s="94"/>
      <c r="G87" s="94" t="s">
        <v>46</v>
      </c>
      <c r="H87" s="94"/>
      <c r="I87" s="95">
        <v>44795</v>
      </c>
      <c r="J87" s="94"/>
      <c r="K87" s="152" t="s">
        <v>221</v>
      </c>
      <c r="L87" s="94"/>
      <c r="M87" s="94" t="s">
        <v>288</v>
      </c>
      <c r="N87" s="94"/>
      <c r="O87" s="94" t="s">
        <v>144</v>
      </c>
      <c r="P87" s="94"/>
      <c r="Q87" s="97">
        <v>15422.2</v>
      </c>
      <c r="R87" s="94"/>
      <c r="S87" s="213"/>
      <c r="T87" s="94"/>
      <c r="U87" s="97">
        <v>668502.1</v>
      </c>
    </row>
    <row r="88" spans="1:21" hidden="1">
      <c r="A88" s="94"/>
      <c r="B88" s="94"/>
      <c r="C88" s="94"/>
      <c r="D88" s="94"/>
      <c r="E88" s="94"/>
      <c r="F88" s="94"/>
      <c r="G88" s="94" t="s">
        <v>46</v>
      </c>
      <c r="H88" s="94"/>
      <c r="I88" s="95">
        <v>44819</v>
      </c>
      <c r="J88" s="94"/>
      <c r="K88" s="152" t="s">
        <v>200</v>
      </c>
      <c r="L88" s="94"/>
      <c r="M88" s="94" t="s">
        <v>287</v>
      </c>
      <c r="N88" s="94"/>
      <c r="O88" s="94" t="s">
        <v>143</v>
      </c>
      <c r="P88" s="94"/>
      <c r="Q88" s="97">
        <v>35107.89</v>
      </c>
      <c r="R88" s="94"/>
      <c r="S88" s="213"/>
      <c r="T88" s="94"/>
      <c r="U88" s="97">
        <v>703609.99</v>
      </c>
    </row>
    <row r="89" spans="1:21" hidden="1">
      <c r="A89" s="94"/>
      <c r="B89" s="94"/>
      <c r="C89" s="94"/>
      <c r="D89" s="94"/>
      <c r="E89" s="94"/>
      <c r="F89" s="94"/>
      <c r="G89" s="94" t="s">
        <v>46</v>
      </c>
      <c r="H89" s="94"/>
      <c r="I89" s="95">
        <v>44819</v>
      </c>
      <c r="J89" s="94"/>
      <c r="K89" s="152" t="s">
        <v>200</v>
      </c>
      <c r="L89" s="94"/>
      <c r="M89" s="94" t="s">
        <v>287</v>
      </c>
      <c r="N89" s="94"/>
      <c r="O89" s="94" t="s">
        <v>144</v>
      </c>
      <c r="P89" s="94"/>
      <c r="Q89" s="97">
        <v>35107.89</v>
      </c>
      <c r="R89" s="94"/>
      <c r="S89" s="213"/>
      <c r="T89" s="94"/>
      <c r="U89" s="97">
        <v>738717.88</v>
      </c>
    </row>
    <row r="90" spans="1:21" hidden="1">
      <c r="A90" s="94"/>
      <c r="B90" s="94"/>
      <c r="C90" s="94"/>
      <c r="D90" s="94"/>
      <c r="E90" s="94"/>
      <c r="F90" s="94"/>
      <c r="G90" s="94" t="s">
        <v>42</v>
      </c>
      <c r="H90" s="94"/>
      <c r="I90" s="95">
        <v>44819</v>
      </c>
      <c r="J90" s="94"/>
      <c r="K90" s="152" t="s">
        <v>209</v>
      </c>
      <c r="L90" s="94"/>
      <c r="M90" s="94" t="s">
        <v>287</v>
      </c>
      <c r="N90" s="94"/>
      <c r="O90" s="94" t="s">
        <v>55</v>
      </c>
      <c r="P90" s="94"/>
      <c r="Q90" s="97"/>
      <c r="R90" s="94"/>
      <c r="S90" s="213">
        <v>148972.57999999999</v>
      </c>
      <c r="T90" s="94"/>
      <c r="U90" s="97">
        <v>589745.30000000005</v>
      </c>
    </row>
    <row r="91" spans="1:21" hidden="1">
      <c r="A91" s="94"/>
      <c r="B91" s="94"/>
      <c r="C91" s="94"/>
      <c r="D91" s="94"/>
      <c r="E91" s="94"/>
      <c r="F91" s="94"/>
      <c r="G91" s="94" t="s">
        <v>46</v>
      </c>
      <c r="H91" s="94"/>
      <c r="I91" s="95">
        <v>44905</v>
      </c>
      <c r="J91" s="94"/>
      <c r="K91" s="152" t="s">
        <v>224</v>
      </c>
      <c r="L91" s="94"/>
      <c r="M91" s="94" t="s">
        <v>288</v>
      </c>
      <c r="N91" s="94"/>
      <c r="O91" s="94" t="s">
        <v>143</v>
      </c>
      <c r="P91" s="94"/>
      <c r="Q91" s="97">
        <v>27084.44</v>
      </c>
      <c r="R91" s="94"/>
      <c r="S91" s="213"/>
      <c r="T91" s="94"/>
      <c r="U91" s="97">
        <v>616829.74</v>
      </c>
    </row>
    <row r="92" spans="1:21" hidden="1">
      <c r="A92" s="94"/>
      <c r="B92" s="94"/>
      <c r="C92" s="94"/>
      <c r="D92" s="94"/>
      <c r="E92" s="94"/>
      <c r="F92" s="94"/>
      <c r="G92" s="94" t="s">
        <v>46</v>
      </c>
      <c r="H92" s="94"/>
      <c r="I92" s="95">
        <v>44905</v>
      </c>
      <c r="J92" s="94"/>
      <c r="K92" s="152" t="s">
        <v>224</v>
      </c>
      <c r="L92" s="94"/>
      <c r="M92" s="94" t="s">
        <v>288</v>
      </c>
      <c r="N92" s="94"/>
      <c r="O92" s="94" t="s">
        <v>142</v>
      </c>
      <c r="P92" s="94"/>
      <c r="Q92" s="97">
        <v>27084.44</v>
      </c>
      <c r="R92" s="94"/>
      <c r="S92" s="213"/>
      <c r="T92" s="94"/>
      <c r="U92" s="97">
        <v>643914.18000000005</v>
      </c>
    </row>
    <row r="93" spans="1:21" hidden="1">
      <c r="A93" s="94"/>
      <c r="B93" s="94"/>
      <c r="C93" s="94"/>
      <c r="D93" s="94"/>
      <c r="E93" s="94"/>
      <c r="F93" s="94"/>
      <c r="G93" s="94" t="s">
        <v>46</v>
      </c>
      <c r="H93" s="94"/>
      <c r="I93" s="95">
        <v>44910</v>
      </c>
      <c r="J93" s="94"/>
      <c r="K93" s="152" t="s">
        <v>127</v>
      </c>
      <c r="L93" s="94"/>
      <c r="M93" s="94" t="s">
        <v>290</v>
      </c>
      <c r="N93" s="94"/>
      <c r="O93" s="94" t="s">
        <v>143</v>
      </c>
      <c r="P93" s="94"/>
      <c r="Q93" s="97">
        <v>27427.32</v>
      </c>
      <c r="R93" s="94"/>
      <c r="S93" s="213"/>
      <c r="T93" s="94"/>
      <c r="U93" s="97">
        <v>671341.5</v>
      </c>
    </row>
    <row r="94" spans="1:21" hidden="1">
      <c r="A94" s="94"/>
      <c r="B94" s="94"/>
      <c r="C94" s="94"/>
      <c r="D94" s="94"/>
      <c r="E94" s="94"/>
      <c r="F94" s="94"/>
      <c r="G94" s="94" t="s">
        <v>46</v>
      </c>
      <c r="H94" s="94"/>
      <c r="I94" s="95">
        <v>44910</v>
      </c>
      <c r="J94" s="94"/>
      <c r="K94" s="152" t="s">
        <v>127</v>
      </c>
      <c r="L94" s="94"/>
      <c r="M94" s="94" t="s">
        <v>290</v>
      </c>
      <c r="N94" s="94"/>
      <c r="O94" s="94" t="s">
        <v>142</v>
      </c>
      <c r="P94" s="94"/>
      <c r="Q94" s="97">
        <v>27427.32</v>
      </c>
      <c r="R94" s="94"/>
      <c r="S94" s="213"/>
      <c r="T94" s="94"/>
      <c r="U94" s="97">
        <v>698768.82</v>
      </c>
    </row>
    <row r="95" spans="1:21" hidden="1">
      <c r="A95" s="94"/>
      <c r="B95" s="94"/>
      <c r="C95" s="94"/>
      <c r="D95" s="94"/>
      <c r="E95" s="94"/>
      <c r="F95" s="94"/>
      <c r="G95" s="94" t="s">
        <v>46</v>
      </c>
      <c r="H95" s="94"/>
      <c r="I95" s="95">
        <v>44910</v>
      </c>
      <c r="J95" s="94"/>
      <c r="K95" s="152" t="s">
        <v>172</v>
      </c>
      <c r="L95" s="94"/>
      <c r="M95" s="94" t="s">
        <v>289</v>
      </c>
      <c r="N95" s="94"/>
      <c r="O95" s="94" t="s">
        <v>143</v>
      </c>
      <c r="P95" s="94"/>
      <c r="Q95" s="97">
        <v>26820.2</v>
      </c>
      <c r="R95" s="94"/>
      <c r="S95" s="213"/>
      <c r="T95" s="94"/>
      <c r="U95" s="97">
        <v>725589.02</v>
      </c>
    </row>
    <row r="96" spans="1:21" hidden="1">
      <c r="A96" s="94"/>
      <c r="B96" s="94"/>
      <c r="C96" s="94"/>
      <c r="D96" s="94"/>
      <c r="E96" s="94"/>
      <c r="F96" s="94"/>
      <c r="G96" s="94" t="s">
        <v>46</v>
      </c>
      <c r="H96" s="94"/>
      <c r="I96" s="95">
        <v>44910</v>
      </c>
      <c r="J96" s="94"/>
      <c r="K96" s="152" t="s">
        <v>172</v>
      </c>
      <c r="L96" s="94"/>
      <c r="M96" s="94" t="s">
        <v>289</v>
      </c>
      <c r="N96" s="94"/>
      <c r="O96" s="94" t="s">
        <v>181</v>
      </c>
      <c r="P96" s="94"/>
      <c r="Q96" s="97">
        <v>26820.2</v>
      </c>
      <c r="R96" s="94"/>
      <c r="S96" s="213"/>
      <c r="T96" s="94"/>
      <c r="U96" s="97">
        <v>752409.22</v>
      </c>
    </row>
    <row r="97" spans="1:21" hidden="1">
      <c r="A97" s="94"/>
      <c r="B97" s="94"/>
      <c r="C97" s="94"/>
      <c r="D97" s="94"/>
      <c r="E97" s="94"/>
      <c r="F97" s="94"/>
      <c r="G97" s="94" t="s">
        <v>46</v>
      </c>
      <c r="H97" s="94"/>
      <c r="I97" s="95">
        <v>44915</v>
      </c>
      <c r="J97" s="94"/>
      <c r="K97" s="152" t="s">
        <v>171</v>
      </c>
      <c r="L97" s="94"/>
      <c r="M97" s="94" t="s">
        <v>289</v>
      </c>
      <c r="N97" s="94"/>
      <c r="O97" s="94" t="s">
        <v>143</v>
      </c>
      <c r="P97" s="94"/>
      <c r="Q97" s="97">
        <v>17477.8</v>
      </c>
      <c r="R97" s="94"/>
      <c r="S97" s="213"/>
      <c r="T97" s="94"/>
      <c r="U97" s="97">
        <v>769887.02</v>
      </c>
    </row>
    <row r="98" spans="1:21" hidden="1">
      <c r="A98" s="94"/>
      <c r="B98" s="94"/>
      <c r="C98" s="94"/>
      <c r="D98" s="94"/>
      <c r="E98" s="94"/>
      <c r="F98" s="94"/>
      <c r="G98" s="94" t="s">
        <v>46</v>
      </c>
      <c r="H98" s="94"/>
      <c r="I98" s="95">
        <v>44915</v>
      </c>
      <c r="J98" s="94"/>
      <c r="K98" s="152" t="s">
        <v>171</v>
      </c>
      <c r="L98" s="94"/>
      <c r="M98" s="94" t="s">
        <v>289</v>
      </c>
      <c r="N98" s="94"/>
      <c r="O98" s="94" t="s">
        <v>180</v>
      </c>
      <c r="P98" s="94"/>
      <c r="Q98" s="97">
        <v>17477.8</v>
      </c>
      <c r="R98" s="94"/>
      <c r="S98" s="213"/>
      <c r="T98" s="94"/>
      <c r="U98" s="97">
        <v>787364.82</v>
      </c>
    </row>
    <row r="99" spans="1:21" hidden="1">
      <c r="A99" s="94"/>
      <c r="B99" s="94"/>
      <c r="C99" s="94"/>
      <c r="D99" s="94"/>
      <c r="E99" s="94"/>
      <c r="F99" s="94"/>
      <c r="G99" s="94" t="s">
        <v>46</v>
      </c>
      <c r="H99" s="94"/>
      <c r="I99" s="95">
        <v>45001</v>
      </c>
      <c r="J99" s="94"/>
      <c r="K99" s="152" t="s">
        <v>170</v>
      </c>
      <c r="L99" s="94"/>
      <c r="M99" s="94" t="s">
        <v>289</v>
      </c>
      <c r="N99" s="94"/>
      <c r="O99" s="94" t="s">
        <v>143</v>
      </c>
      <c r="P99" s="94"/>
      <c r="Q99" s="97">
        <v>20930</v>
      </c>
      <c r="R99" s="94"/>
      <c r="S99" s="213"/>
      <c r="T99" s="94"/>
      <c r="U99" s="97">
        <v>808294.82</v>
      </c>
    </row>
    <row r="100" spans="1:21" hidden="1">
      <c r="A100" s="94"/>
      <c r="B100" s="94"/>
      <c r="C100" s="94"/>
      <c r="D100" s="94"/>
      <c r="E100" s="94"/>
      <c r="F100" s="94"/>
      <c r="G100" s="94" t="s">
        <v>46</v>
      </c>
      <c r="H100" s="94"/>
      <c r="I100" s="95">
        <v>45001</v>
      </c>
      <c r="J100" s="94"/>
      <c r="K100" s="152" t="s">
        <v>170</v>
      </c>
      <c r="L100" s="94"/>
      <c r="M100" s="94" t="s">
        <v>289</v>
      </c>
      <c r="N100" s="94"/>
      <c r="O100" s="94" t="s">
        <v>179</v>
      </c>
      <c r="P100" s="94"/>
      <c r="Q100" s="97">
        <v>20930</v>
      </c>
      <c r="R100" s="94"/>
      <c r="S100" s="213"/>
      <c r="T100" s="94"/>
      <c r="U100" s="97">
        <v>829224.82</v>
      </c>
    </row>
    <row r="101" spans="1:21" hidden="1">
      <c r="A101" s="94"/>
      <c r="B101" s="94"/>
      <c r="C101" s="94"/>
      <c r="D101" s="94"/>
      <c r="E101" s="94"/>
      <c r="F101" s="94"/>
      <c r="G101" s="94" t="s">
        <v>42</v>
      </c>
      <c r="H101" s="94"/>
      <c r="I101" s="95">
        <v>45078</v>
      </c>
      <c r="J101" s="94"/>
      <c r="K101" s="152" t="s">
        <v>177</v>
      </c>
      <c r="L101" s="94"/>
      <c r="M101" s="94" t="s">
        <v>289</v>
      </c>
      <c r="N101" s="94"/>
      <c r="O101" s="94" t="s">
        <v>176</v>
      </c>
      <c r="P101" s="94"/>
      <c r="Q101" s="97"/>
      <c r="R101" s="94"/>
      <c r="S101" s="213">
        <v>259762</v>
      </c>
      <c r="T101" s="94"/>
      <c r="U101" s="97">
        <v>569462.81999999995</v>
      </c>
    </row>
    <row r="102" spans="1:21" hidden="1">
      <c r="A102" s="94"/>
      <c r="B102" s="94"/>
      <c r="C102" s="94"/>
      <c r="D102" s="94"/>
      <c r="E102" s="94"/>
      <c r="F102" s="94"/>
      <c r="G102" s="94" t="s">
        <v>46</v>
      </c>
      <c r="H102" s="94"/>
      <c r="I102" s="95">
        <v>45082</v>
      </c>
      <c r="J102" s="94"/>
      <c r="K102" s="152" t="s">
        <v>168</v>
      </c>
      <c r="L102" s="94"/>
      <c r="M102" s="94" t="s">
        <v>289</v>
      </c>
      <c r="N102" s="94"/>
      <c r="O102" s="94" t="s">
        <v>143</v>
      </c>
      <c r="P102" s="94"/>
      <c r="Q102" s="97">
        <v>12374</v>
      </c>
      <c r="R102" s="94"/>
      <c r="S102" s="213"/>
      <c r="T102" s="94"/>
      <c r="U102" s="97">
        <v>581836.81999999995</v>
      </c>
    </row>
    <row r="103" spans="1:21" ht="15.75" hidden="1" thickBot="1">
      <c r="A103" s="94"/>
      <c r="B103" s="94"/>
      <c r="C103" s="94"/>
      <c r="D103" s="94"/>
      <c r="E103" s="94"/>
      <c r="F103" s="94"/>
      <c r="G103" s="94" t="s">
        <v>46</v>
      </c>
      <c r="H103" s="94"/>
      <c r="I103" s="95">
        <v>45082</v>
      </c>
      <c r="J103" s="94"/>
      <c r="K103" s="152" t="s">
        <v>168</v>
      </c>
      <c r="L103" s="94"/>
      <c r="M103" s="94" t="s">
        <v>289</v>
      </c>
      <c r="N103" s="94"/>
      <c r="O103" s="94" t="s">
        <v>178</v>
      </c>
      <c r="P103" s="94"/>
      <c r="Q103" s="99">
        <v>12374</v>
      </c>
      <c r="R103" s="94"/>
      <c r="S103" s="215"/>
      <c r="T103" s="94"/>
      <c r="U103" s="99">
        <v>594210.81999999995</v>
      </c>
    </row>
    <row r="104" spans="1:21" hidden="1">
      <c r="A104" s="94"/>
      <c r="B104" s="94" t="s">
        <v>141</v>
      </c>
      <c r="C104" s="94"/>
      <c r="D104" s="94"/>
      <c r="E104" s="94"/>
      <c r="F104" s="94"/>
      <c r="G104" s="94"/>
      <c r="H104" s="94"/>
      <c r="I104" s="95"/>
      <c r="J104" s="94"/>
      <c r="K104" s="152"/>
      <c r="L104" s="94"/>
      <c r="M104" s="94"/>
      <c r="N104" s="94"/>
      <c r="O104" s="94"/>
      <c r="P104" s="94"/>
      <c r="Q104" s="97">
        <f>ROUND(SUM(Q59:Q103),5)</f>
        <v>1002945.4</v>
      </c>
      <c r="R104" s="94"/>
      <c r="S104" s="213">
        <f>ROUND(SUM(S59:S103),5)</f>
        <v>408734.58</v>
      </c>
      <c r="T104" s="94"/>
      <c r="U104" s="97">
        <f>U103</f>
        <v>594210.81999999995</v>
      </c>
    </row>
    <row r="105" spans="1:21" hidden="1">
      <c r="A105" s="90"/>
      <c r="B105" s="90" t="s">
        <v>140</v>
      </c>
      <c r="C105" s="90"/>
      <c r="D105" s="90"/>
      <c r="E105" s="90"/>
      <c r="F105" s="90"/>
      <c r="G105" s="90"/>
      <c r="H105" s="90"/>
      <c r="I105" s="91"/>
      <c r="J105" s="90"/>
      <c r="K105" s="156"/>
      <c r="L105" s="90"/>
      <c r="M105" s="90"/>
      <c r="N105" s="90"/>
      <c r="O105" s="90"/>
      <c r="P105" s="90"/>
      <c r="Q105" s="98"/>
      <c r="R105" s="90"/>
      <c r="S105" s="214"/>
      <c r="T105" s="90"/>
      <c r="U105" s="98"/>
    </row>
    <row r="106" spans="1:21" hidden="1">
      <c r="A106" s="94"/>
      <c r="B106" s="94"/>
      <c r="C106" s="94"/>
      <c r="D106" s="94"/>
      <c r="E106" s="94"/>
      <c r="F106" s="94"/>
      <c r="G106" s="94" t="s">
        <v>46</v>
      </c>
      <c r="H106" s="94"/>
      <c r="I106" s="95">
        <v>44653</v>
      </c>
      <c r="J106" s="94"/>
      <c r="K106" s="152" t="s">
        <v>134</v>
      </c>
      <c r="L106" s="94"/>
      <c r="M106" s="94" t="s">
        <v>290</v>
      </c>
      <c r="N106" s="94"/>
      <c r="O106" s="94" t="s">
        <v>139</v>
      </c>
      <c r="P106" s="94"/>
      <c r="Q106" s="97"/>
      <c r="R106" s="94"/>
      <c r="S106" s="213">
        <v>10137.5</v>
      </c>
      <c r="T106" s="94"/>
      <c r="U106" s="97">
        <v>-10137.5</v>
      </c>
    </row>
    <row r="107" spans="1:21" hidden="1">
      <c r="A107" s="94"/>
      <c r="B107" s="94"/>
      <c r="C107" s="94"/>
      <c r="D107" s="94"/>
      <c r="E107" s="94"/>
      <c r="F107" s="94"/>
      <c r="G107" s="94" t="s">
        <v>46</v>
      </c>
      <c r="H107" s="94"/>
      <c r="I107" s="95">
        <v>44658</v>
      </c>
      <c r="J107" s="94"/>
      <c r="K107" s="152" t="s">
        <v>132</v>
      </c>
      <c r="L107" s="94"/>
      <c r="M107" s="94" t="s">
        <v>290</v>
      </c>
      <c r="N107" s="94"/>
      <c r="O107" s="94" t="s">
        <v>139</v>
      </c>
      <c r="P107" s="94"/>
      <c r="Q107" s="97"/>
      <c r="R107" s="94"/>
      <c r="S107" s="213">
        <v>4493.6899999999996</v>
      </c>
      <c r="T107" s="94"/>
      <c r="U107" s="97">
        <v>-14631.19</v>
      </c>
    </row>
    <row r="108" spans="1:21" hidden="1">
      <c r="A108" s="94"/>
      <c r="B108" s="94"/>
      <c r="C108" s="94"/>
      <c r="D108" s="94"/>
      <c r="E108" s="94"/>
      <c r="F108" s="94"/>
      <c r="G108" s="94" t="s">
        <v>46</v>
      </c>
      <c r="H108" s="94"/>
      <c r="I108" s="95">
        <v>44694</v>
      </c>
      <c r="J108" s="94"/>
      <c r="K108" s="152" t="s">
        <v>130</v>
      </c>
      <c r="L108" s="94"/>
      <c r="M108" s="94" t="s">
        <v>290</v>
      </c>
      <c r="N108" s="94"/>
      <c r="O108" s="94" t="s">
        <v>139</v>
      </c>
      <c r="P108" s="94"/>
      <c r="Q108" s="97"/>
      <c r="R108" s="94"/>
      <c r="S108" s="213">
        <v>10233.11</v>
      </c>
      <c r="T108" s="94"/>
      <c r="U108" s="97">
        <v>-24864.3</v>
      </c>
    </row>
    <row r="109" spans="1:21" hidden="1">
      <c r="A109" s="94"/>
      <c r="B109" s="94"/>
      <c r="C109" s="94"/>
      <c r="D109" s="94"/>
      <c r="E109" s="94"/>
      <c r="F109" s="94"/>
      <c r="G109" s="94" t="s">
        <v>46</v>
      </c>
      <c r="H109" s="94"/>
      <c r="I109" s="95">
        <v>44694</v>
      </c>
      <c r="J109" s="94"/>
      <c r="K109" s="152" t="s">
        <v>175</v>
      </c>
      <c r="L109" s="94"/>
      <c r="M109" s="94" t="s">
        <v>289</v>
      </c>
      <c r="N109" s="94"/>
      <c r="O109" s="94" t="s">
        <v>139</v>
      </c>
      <c r="P109" s="94"/>
      <c r="Q109" s="97"/>
      <c r="R109" s="94"/>
      <c r="S109" s="213">
        <v>10336.56</v>
      </c>
      <c r="T109" s="94"/>
      <c r="U109" s="97">
        <v>-35200.86</v>
      </c>
    </row>
    <row r="110" spans="1:21" hidden="1">
      <c r="A110" s="94"/>
      <c r="B110" s="94"/>
      <c r="C110" s="94"/>
      <c r="D110" s="94"/>
      <c r="E110" s="94"/>
      <c r="F110" s="94"/>
      <c r="G110" s="94" t="s">
        <v>46</v>
      </c>
      <c r="H110" s="94"/>
      <c r="I110" s="95">
        <v>44694</v>
      </c>
      <c r="J110" s="94"/>
      <c r="K110" s="152" t="s">
        <v>208</v>
      </c>
      <c r="L110" s="94"/>
      <c r="M110" s="94" t="s">
        <v>287</v>
      </c>
      <c r="N110" s="94"/>
      <c r="O110" s="94" t="s">
        <v>139</v>
      </c>
      <c r="P110" s="94"/>
      <c r="Q110" s="97"/>
      <c r="R110" s="94"/>
      <c r="S110" s="213">
        <v>15310.9</v>
      </c>
      <c r="T110" s="94"/>
      <c r="U110" s="97">
        <v>-50511.76</v>
      </c>
    </row>
    <row r="111" spans="1:21" hidden="1">
      <c r="A111" s="94"/>
      <c r="B111" s="94"/>
      <c r="C111" s="94"/>
      <c r="D111" s="94"/>
      <c r="E111" s="94"/>
      <c r="F111" s="94"/>
      <c r="G111" s="94" t="s">
        <v>46</v>
      </c>
      <c r="H111" s="94"/>
      <c r="I111" s="95">
        <v>44694</v>
      </c>
      <c r="J111" s="94"/>
      <c r="K111" s="152" t="s">
        <v>226</v>
      </c>
      <c r="L111" s="94"/>
      <c r="M111" s="94" t="s">
        <v>288</v>
      </c>
      <c r="N111" s="94"/>
      <c r="O111" s="94" t="s">
        <v>139</v>
      </c>
      <c r="P111" s="94"/>
      <c r="Q111" s="97"/>
      <c r="R111" s="94"/>
      <c r="S111" s="213">
        <v>8403.36</v>
      </c>
      <c r="T111" s="94"/>
      <c r="U111" s="97">
        <v>-58915.12</v>
      </c>
    </row>
    <row r="112" spans="1:21" hidden="1">
      <c r="A112" s="94"/>
      <c r="B112" s="94"/>
      <c r="C112" s="94"/>
      <c r="D112" s="94"/>
      <c r="E112" s="94"/>
      <c r="F112" s="94"/>
      <c r="G112" s="94" t="s">
        <v>46</v>
      </c>
      <c r="H112" s="94"/>
      <c r="I112" s="95">
        <v>44732</v>
      </c>
      <c r="J112" s="94"/>
      <c r="K112" s="152" t="s">
        <v>174</v>
      </c>
      <c r="L112" s="94"/>
      <c r="M112" s="94" t="s">
        <v>289</v>
      </c>
      <c r="N112" s="94"/>
      <c r="O112" s="94" t="s">
        <v>139</v>
      </c>
      <c r="P112" s="94"/>
      <c r="Q112" s="97"/>
      <c r="R112" s="94"/>
      <c r="S112" s="213">
        <v>6512.08</v>
      </c>
      <c r="T112" s="94"/>
      <c r="U112" s="97">
        <v>-65427.199999999997</v>
      </c>
    </row>
    <row r="113" spans="1:21" hidden="1">
      <c r="A113" s="94"/>
      <c r="B113" s="94"/>
      <c r="C113" s="94"/>
      <c r="D113" s="94"/>
      <c r="E113" s="94"/>
      <c r="F113" s="94"/>
      <c r="G113" s="94" t="s">
        <v>46</v>
      </c>
      <c r="H113" s="94"/>
      <c r="I113" s="95">
        <v>44732</v>
      </c>
      <c r="J113" s="94"/>
      <c r="K113" s="152" t="s">
        <v>206</v>
      </c>
      <c r="L113" s="94"/>
      <c r="M113" s="94" t="s">
        <v>287</v>
      </c>
      <c r="N113" s="94"/>
      <c r="O113" s="94" t="s">
        <v>139</v>
      </c>
      <c r="P113" s="94"/>
      <c r="Q113" s="97"/>
      <c r="R113" s="94"/>
      <c r="S113" s="213">
        <v>12133.66</v>
      </c>
      <c r="T113" s="94"/>
      <c r="U113" s="97">
        <v>-77560.86</v>
      </c>
    </row>
    <row r="114" spans="1:21" hidden="1">
      <c r="A114" s="94"/>
      <c r="B114" s="94"/>
      <c r="C114" s="94"/>
      <c r="D114" s="94"/>
      <c r="E114" s="94"/>
      <c r="F114" s="94"/>
      <c r="G114" s="94" t="s">
        <v>46</v>
      </c>
      <c r="H114" s="94"/>
      <c r="I114" s="95">
        <v>44732</v>
      </c>
      <c r="J114" s="94"/>
      <c r="K114" s="152" t="s">
        <v>225</v>
      </c>
      <c r="L114" s="94"/>
      <c r="M114" s="94" t="s">
        <v>288</v>
      </c>
      <c r="N114" s="94"/>
      <c r="O114" s="94" t="s">
        <v>139</v>
      </c>
      <c r="P114" s="94"/>
      <c r="Q114" s="97"/>
      <c r="R114" s="94"/>
      <c r="S114" s="213">
        <v>11598.64</v>
      </c>
      <c r="T114" s="94"/>
      <c r="U114" s="97">
        <v>-89159.5</v>
      </c>
    </row>
    <row r="115" spans="1:21" hidden="1">
      <c r="A115" s="94"/>
      <c r="B115" s="94"/>
      <c r="C115" s="94"/>
      <c r="D115" s="94"/>
      <c r="E115" s="94"/>
      <c r="F115" s="94"/>
      <c r="G115" s="94" t="s">
        <v>46</v>
      </c>
      <c r="H115" s="94"/>
      <c r="I115" s="95">
        <v>44735</v>
      </c>
      <c r="J115" s="94"/>
      <c r="K115" s="152" t="s">
        <v>128</v>
      </c>
      <c r="L115" s="94"/>
      <c r="M115" s="94" t="s">
        <v>290</v>
      </c>
      <c r="N115" s="94"/>
      <c r="O115" s="94" t="s">
        <v>139</v>
      </c>
      <c r="P115" s="94"/>
      <c r="Q115" s="97"/>
      <c r="R115" s="94"/>
      <c r="S115" s="213">
        <v>2124.7800000000002</v>
      </c>
      <c r="T115" s="94"/>
      <c r="U115" s="97">
        <v>-91284.28</v>
      </c>
    </row>
    <row r="116" spans="1:21" hidden="1">
      <c r="A116" s="94"/>
      <c r="B116" s="94"/>
      <c r="C116" s="94"/>
      <c r="D116" s="94"/>
      <c r="E116" s="94"/>
      <c r="F116" s="94"/>
      <c r="G116" s="94" t="s">
        <v>46</v>
      </c>
      <c r="H116" s="94"/>
      <c r="I116" s="95">
        <v>44770</v>
      </c>
      <c r="J116" s="94"/>
      <c r="K116" s="152" t="s">
        <v>173</v>
      </c>
      <c r="L116" s="94"/>
      <c r="M116" s="94" t="s">
        <v>289</v>
      </c>
      <c r="N116" s="94"/>
      <c r="O116" s="94" t="s">
        <v>139</v>
      </c>
      <c r="P116" s="94"/>
      <c r="Q116" s="97"/>
      <c r="R116" s="94"/>
      <c r="S116" s="213">
        <v>4062.96</v>
      </c>
      <c r="T116" s="94"/>
      <c r="U116" s="97">
        <v>-95347.24</v>
      </c>
    </row>
    <row r="117" spans="1:21" hidden="1">
      <c r="A117" s="94"/>
      <c r="B117" s="94"/>
      <c r="C117" s="94"/>
      <c r="D117" s="94"/>
      <c r="E117" s="94"/>
      <c r="F117" s="94"/>
      <c r="G117" s="94" t="s">
        <v>46</v>
      </c>
      <c r="H117" s="94"/>
      <c r="I117" s="95">
        <v>44775</v>
      </c>
      <c r="J117" s="94"/>
      <c r="K117" s="152" t="s">
        <v>223</v>
      </c>
      <c r="L117" s="94"/>
      <c r="M117" s="94" t="s">
        <v>288</v>
      </c>
      <c r="N117" s="94"/>
      <c r="O117" s="94" t="s">
        <v>139</v>
      </c>
      <c r="P117" s="94"/>
      <c r="Q117" s="97"/>
      <c r="R117" s="94"/>
      <c r="S117" s="213">
        <v>14082.99</v>
      </c>
      <c r="T117" s="94"/>
      <c r="U117" s="97">
        <v>-109430.23</v>
      </c>
    </row>
    <row r="118" spans="1:21" hidden="1">
      <c r="A118" s="94"/>
      <c r="B118" s="94"/>
      <c r="C118" s="94"/>
      <c r="D118" s="94"/>
      <c r="E118" s="94"/>
      <c r="F118" s="94"/>
      <c r="G118" s="94" t="s">
        <v>46</v>
      </c>
      <c r="H118" s="94"/>
      <c r="I118" s="95">
        <v>44782</v>
      </c>
      <c r="J118" s="94"/>
      <c r="K118" s="152" t="s">
        <v>204</v>
      </c>
      <c r="L118" s="94"/>
      <c r="M118" s="94" t="s">
        <v>287</v>
      </c>
      <c r="N118" s="94"/>
      <c r="O118" s="94" t="s">
        <v>139</v>
      </c>
      <c r="P118" s="94"/>
      <c r="Q118" s="97"/>
      <c r="R118" s="94"/>
      <c r="S118" s="213">
        <v>18101.32</v>
      </c>
      <c r="T118" s="94"/>
      <c r="U118" s="97">
        <v>-127531.55</v>
      </c>
    </row>
    <row r="119" spans="1:21" hidden="1">
      <c r="A119" s="94"/>
      <c r="B119" s="94"/>
      <c r="C119" s="94"/>
      <c r="D119" s="94"/>
      <c r="E119" s="94"/>
      <c r="F119" s="94"/>
      <c r="G119" s="94" t="s">
        <v>46</v>
      </c>
      <c r="H119" s="94"/>
      <c r="I119" s="95">
        <v>44795</v>
      </c>
      <c r="J119" s="94"/>
      <c r="K119" s="152" t="s">
        <v>221</v>
      </c>
      <c r="L119" s="94"/>
      <c r="M119" s="94" t="s">
        <v>288</v>
      </c>
      <c r="N119" s="94"/>
      <c r="O119" s="94" t="s">
        <v>139</v>
      </c>
      <c r="P119" s="94"/>
      <c r="Q119" s="97"/>
      <c r="R119" s="94"/>
      <c r="S119" s="213">
        <v>6168.88</v>
      </c>
      <c r="T119" s="94"/>
      <c r="U119" s="97">
        <v>-133700.43</v>
      </c>
    </row>
    <row r="120" spans="1:21" hidden="1">
      <c r="A120" s="94"/>
      <c r="B120" s="94"/>
      <c r="C120" s="94"/>
      <c r="D120" s="94"/>
      <c r="E120" s="94"/>
      <c r="F120" s="94"/>
      <c r="G120" s="94" t="s">
        <v>46</v>
      </c>
      <c r="H120" s="94"/>
      <c r="I120" s="95">
        <v>44819</v>
      </c>
      <c r="J120" s="94"/>
      <c r="K120" s="152" t="s">
        <v>200</v>
      </c>
      <c r="L120" s="94"/>
      <c r="M120" s="94" t="s">
        <v>287</v>
      </c>
      <c r="N120" s="94"/>
      <c r="O120" s="94" t="s">
        <v>139</v>
      </c>
      <c r="P120" s="94"/>
      <c r="Q120" s="97"/>
      <c r="R120" s="94"/>
      <c r="S120" s="213">
        <v>14043.15</v>
      </c>
      <c r="T120" s="94"/>
      <c r="U120" s="97">
        <v>-147743.57999999999</v>
      </c>
    </row>
    <row r="121" spans="1:21" hidden="1">
      <c r="A121" s="94"/>
      <c r="B121" s="94"/>
      <c r="C121" s="94"/>
      <c r="D121" s="94"/>
      <c r="E121" s="94"/>
      <c r="F121" s="94"/>
      <c r="G121" s="94" t="s">
        <v>42</v>
      </c>
      <c r="H121" s="94"/>
      <c r="I121" s="95">
        <v>44819</v>
      </c>
      <c r="J121" s="94"/>
      <c r="K121" s="152" t="s">
        <v>209</v>
      </c>
      <c r="L121" s="94"/>
      <c r="M121" s="94" t="s">
        <v>287</v>
      </c>
      <c r="N121" s="94"/>
      <c r="O121" s="94" t="s">
        <v>55</v>
      </c>
      <c r="P121" s="94"/>
      <c r="Q121" s="97"/>
      <c r="R121" s="94"/>
      <c r="S121" s="213">
        <v>7448.63</v>
      </c>
      <c r="T121" s="94"/>
      <c r="U121" s="97">
        <v>-155192.21</v>
      </c>
    </row>
    <row r="122" spans="1:21" hidden="1">
      <c r="A122" s="94"/>
      <c r="B122" s="94"/>
      <c r="C122" s="94"/>
      <c r="D122" s="94"/>
      <c r="E122" s="94"/>
      <c r="F122" s="94"/>
      <c r="G122" s="94" t="s">
        <v>46</v>
      </c>
      <c r="H122" s="94"/>
      <c r="I122" s="95">
        <v>44905</v>
      </c>
      <c r="J122" s="94"/>
      <c r="K122" s="152" t="s">
        <v>224</v>
      </c>
      <c r="L122" s="94"/>
      <c r="M122" s="94" t="s">
        <v>288</v>
      </c>
      <c r="N122" s="94"/>
      <c r="O122" s="94" t="s">
        <v>139</v>
      </c>
      <c r="P122" s="94"/>
      <c r="Q122" s="97"/>
      <c r="R122" s="94"/>
      <c r="S122" s="213">
        <v>10833.78</v>
      </c>
      <c r="T122" s="94"/>
      <c r="U122" s="97">
        <v>-166025.99</v>
      </c>
    </row>
    <row r="123" spans="1:21" hidden="1">
      <c r="A123" s="94"/>
      <c r="B123" s="94"/>
      <c r="C123" s="94"/>
      <c r="D123" s="94"/>
      <c r="E123" s="94"/>
      <c r="F123" s="94"/>
      <c r="G123" s="94" t="s">
        <v>46</v>
      </c>
      <c r="H123" s="94"/>
      <c r="I123" s="95">
        <v>44910</v>
      </c>
      <c r="J123" s="94"/>
      <c r="K123" s="152" t="s">
        <v>127</v>
      </c>
      <c r="L123" s="94"/>
      <c r="M123" s="94" t="s">
        <v>290</v>
      </c>
      <c r="N123" s="94"/>
      <c r="O123" s="94" t="s">
        <v>139</v>
      </c>
      <c r="P123" s="94"/>
      <c r="Q123" s="97"/>
      <c r="R123" s="94"/>
      <c r="S123" s="213">
        <v>10970.93</v>
      </c>
      <c r="T123" s="94"/>
      <c r="U123" s="97">
        <v>-176996.92</v>
      </c>
    </row>
    <row r="124" spans="1:21" hidden="1">
      <c r="A124" s="94"/>
      <c r="B124" s="94"/>
      <c r="C124" s="94"/>
      <c r="D124" s="94"/>
      <c r="E124" s="94"/>
      <c r="F124" s="94"/>
      <c r="G124" s="94" t="s">
        <v>46</v>
      </c>
      <c r="H124" s="94"/>
      <c r="I124" s="95">
        <v>44910</v>
      </c>
      <c r="J124" s="94"/>
      <c r="K124" s="152" t="s">
        <v>172</v>
      </c>
      <c r="L124" s="94"/>
      <c r="M124" s="94" t="s">
        <v>289</v>
      </c>
      <c r="N124" s="94"/>
      <c r="O124" s="94" t="s">
        <v>139</v>
      </c>
      <c r="P124" s="94"/>
      <c r="Q124" s="97"/>
      <c r="R124" s="94"/>
      <c r="S124" s="213">
        <v>10728.08</v>
      </c>
      <c r="T124" s="94"/>
      <c r="U124" s="97">
        <v>-187725</v>
      </c>
    </row>
    <row r="125" spans="1:21" hidden="1">
      <c r="A125" s="94"/>
      <c r="B125" s="94"/>
      <c r="C125" s="94"/>
      <c r="D125" s="94"/>
      <c r="E125" s="94"/>
      <c r="F125" s="94"/>
      <c r="G125" s="94" t="s">
        <v>46</v>
      </c>
      <c r="H125" s="94"/>
      <c r="I125" s="95">
        <v>44915</v>
      </c>
      <c r="J125" s="94"/>
      <c r="K125" s="152" t="s">
        <v>171</v>
      </c>
      <c r="L125" s="94"/>
      <c r="M125" s="94" t="s">
        <v>289</v>
      </c>
      <c r="N125" s="94"/>
      <c r="O125" s="94" t="s">
        <v>139</v>
      </c>
      <c r="P125" s="94"/>
      <c r="Q125" s="97"/>
      <c r="R125" s="94"/>
      <c r="S125" s="213">
        <v>6991.12</v>
      </c>
      <c r="T125" s="94"/>
      <c r="U125" s="97">
        <v>-194716.12</v>
      </c>
    </row>
    <row r="126" spans="1:21" hidden="1">
      <c r="A126" s="94"/>
      <c r="B126" s="94"/>
      <c r="C126" s="94"/>
      <c r="D126" s="94"/>
      <c r="E126" s="94"/>
      <c r="F126" s="94"/>
      <c r="G126" s="94" t="s">
        <v>46</v>
      </c>
      <c r="H126" s="94"/>
      <c r="I126" s="95">
        <v>45001</v>
      </c>
      <c r="J126" s="94"/>
      <c r="K126" s="152" t="s">
        <v>170</v>
      </c>
      <c r="L126" s="94"/>
      <c r="M126" s="94" t="s">
        <v>289</v>
      </c>
      <c r="N126" s="94"/>
      <c r="O126" s="94" t="s">
        <v>139</v>
      </c>
      <c r="P126" s="94"/>
      <c r="Q126" s="97"/>
      <c r="R126" s="94"/>
      <c r="S126" s="213">
        <v>8372</v>
      </c>
      <c r="T126" s="94"/>
      <c r="U126" s="97">
        <v>-203088.12</v>
      </c>
    </row>
    <row r="127" spans="1:21" hidden="1">
      <c r="A127" s="94"/>
      <c r="B127" s="94"/>
      <c r="C127" s="94"/>
      <c r="D127" s="94"/>
      <c r="E127" s="94"/>
      <c r="F127" s="94"/>
      <c r="G127" s="94" t="s">
        <v>46</v>
      </c>
      <c r="H127" s="94"/>
      <c r="I127" s="95">
        <v>45078</v>
      </c>
      <c r="J127" s="94"/>
      <c r="K127" s="152" t="s">
        <v>169</v>
      </c>
      <c r="L127" s="94"/>
      <c r="M127" s="94" t="s">
        <v>289</v>
      </c>
      <c r="N127" s="94"/>
      <c r="O127" s="94" t="s">
        <v>139</v>
      </c>
      <c r="P127" s="94"/>
      <c r="Q127" s="97"/>
      <c r="R127" s="94"/>
      <c r="S127" s="213">
        <v>32850</v>
      </c>
      <c r="T127" s="94"/>
      <c r="U127" s="97">
        <v>-235938.12</v>
      </c>
    </row>
    <row r="128" spans="1:21" hidden="1">
      <c r="A128" s="94"/>
      <c r="B128" s="94"/>
      <c r="C128" s="94"/>
      <c r="D128" s="94"/>
      <c r="E128" s="94"/>
      <c r="F128" s="94"/>
      <c r="G128" s="94" t="s">
        <v>42</v>
      </c>
      <c r="H128" s="94"/>
      <c r="I128" s="95">
        <v>45078</v>
      </c>
      <c r="J128" s="94"/>
      <c r="K128" s="152" t="s">
        <v>177</v>
      </c>
      <c r="L128" s="94"/>
      <c r="M128" s="94" t="s">
        <v>289</v>
      </c>
      <c r="N128" s="94"/>
      <c r="O128" s="94" t="s">
        <v>176</v>
      </c>
      <c r="P128" s="94"/>
      <c r="Q128" s="97"/>
      <c r="R128" s="94"/>
      <c r="S128" s="213">
        <v>12988.1</v>
      </c>
      <c r="T128" s="94"/>
      <c r="U128" s="97">
        <v>-248926.22</v>
      </c>
    </row>
    <row r="129" spans="1:21" hidden="1">
      <c r="A129" s="94"/>
      <c r="B129" s="94"/>
      <c r="C129" s="94"/>
      <c r="D129" s="94"/>
      <c r="E129" s="94"/>
      <c r="F129" s="94"/>
      <c r="G129" s="94" t="s">
        <v>46</v>
      </c>
      <c r="H129" s="94"/>
      <c r="I129" s="95">
        <v>45078</v>
      </c>
      <c r="J129" s="94"/>
      <c r="K129" s="152" t="s">
        <v>126</v>
      </c>
      <c r="L129" s="94"/>
      <c r="M129" s="94" t="s">
        <v>290</v>
      </c>
      <c r="N129" s="94"/>
      <c r="O129" s="94" t="s">
        <v>139</v>
      </c>
      <c r="P129" s="94"/>
      <c r="Q129" s="97"/>
      <c r="R129" s="94"/>
      <c r="S129" s="213">
        <v>17550</v>
      </c>
      <c r="T129" s="94"/>
      <c r="U129" s="97">
        <v>-266476.21999999997</v>
      </c>
    </row>
    <row r="130" spans="1:21" hidden="1">
      <c r="A130" s="94"/>
      <c r="B130" s="94"/>
      <c r="C130" s="94"/>
      <c r="D130" s="94"/>
      <c r="E130" s="94"/>
      <c r="F130" s="94"/>
      <c r="G130" s="94" t="s">
        <v>46</v>
      </c>
      <c r="H130" s="94"/>
      <c r="I130" s="95">
        <v>45082</v>
      </c>
      <c r="J130" s="94"/>
      <c r="K130" s="152" t="s">
        <v>168</v>
      </c>
      <c r="L130" s="94"/>
      <c r="M130" s="94" t="s">
        <v>289</v>
      </c>
      <c r="N130" s="94"/>
      <c r="O130" s="94" t="s">
        <v>139</v>
      </c>
      <c r="P130" s="94"/>
      <c r="Q130" s="97"/>
      <c r="R130" s="94"/>
      <c r="S130" s="213">
        <v>4949.6000000000004</v>
      </c>
      <c r="T130" s="94"/>
      <c r="U130" s="97">
        <v>-271425.82</v>
      </c>
    </row>
    <row r="131" spans="1:21" ht="15.75" hidden="1" thickBot="1">
      <c r="A131" s="94"/>
      <c r="B131" s="94"/>
      <c r="C131" s="94"/>
      <c r="D131" s="94"/>
      <c r="E131" s="94"/>
      <c r="F131" s="94"/>
      <c r="G131" s="94" t="s">
        <v>46</v>
      </c>
      <c r="H131" s="94"/>
      <c r="I131" s="95">
        <v>45082</v>
      </c>
      <c r="J131" s="94"/>
      <c r="K131" s="152" t="s">
        <v>167</v>
      </c>
      <c r="L131" s="94"/>
      <c r="M131" s="94" t="s">
        <v>289</v>
      </c>
      <c r="N131" s="94"/>
      <c r="O131" s="94" t="s">
        <v>139</v>
      </c>
      <c r="P131" s="94"/>
      <c r="Q131" s="99"/>
      <c r="R131" s="94"/>
      <c r="S131" s="215">
        <v>17209.5</v>
      </c>
      <c r="T131" s="94"/>
      <c r="U131" s="99">
        <v>-288635.32</v>
      </c>
    </row>
    <row r="132" spans="1:21" hidden="1">
      <c r="A132" s="94"/>
      <c r="B132" s="94" t="s">
        <v>138</v>
      </c>
      <c r="C132" s="94"/>
      <c r="D132" s="94"/>
      <c r="E132" s="94"/>
      <c r="F132" s="94"/>
      <c r="G132" s="94"/>
      <c r="H132" s="94"/>
      <c r="I132" s="95"/>
      <c r="J132" s="94"/>
      <c r="K132" s="152"/>
      <c r="L132" s="94"/>
      <c r="M132" s="94"/>
      <c r="N132" s="94"/>
      <c r="O132" s="94"/>
      <c r="P132" s="94"/>
      <c r="Q132" s="97">
        <f>ROUND(SUM(Q105:Q131),5)</f>
        <v>0</v>
      </c>
      <c r="R132" s="94"/>
      <c r="S132" s="213">
        <f>ROUND(SUM(S105:S131),5)</f>
        <v>288635.32</v>
      </c>
      <c r="T132" s="94"/>
      <c r="U132" s="97">
        <f>U131</f>
        <v>-288635.32</v>
      </c>
    </row>
    <row r="133" spans="1:21" hidden="1">
      <c r="A133" s="90"/>
      <c r="B133" s="90" t="s">
        <v>137</v>
      </c>
      <c r="C133" s="90"/>
      <c r="D133" s="90"/>
      <c r="E133" s="90"/>
      <c r="F133" s="90"/>
      <c r="G133" s="90"/>
      <c r="H133" s="90"/>
      <c r="I133" s="91"/>
      <c r="J133" s="90"/>
      <c r="K133" s="156"/>
      <c r="L133" s="90"/>
      <c r="M133" s="90"/>
      <c r="N133" s="90"/>
      <c r="O133" s="90"/>
      <c r="P133" s="90"/>
      <c r="Q133" s="98"/>
      <c r="R133" s="90"/>
      <c r="S133" s="214"/>
      <c r="T133" s="90"/>
      <c r="U133" s="98"/>
    </row>
    <row r="134" spans="1:21" hidden="1">
      <c r="A134" s="90"/>
      <c r="B134" s="90"/>
      <c r="C134" s="90" t="s">
        <v>136</v>
      </c>
      <c r="D134" s="90"/>
      <c r="E134" s="90"/>
      <c r="F134" s="90"/>
      <c r="G134" s="90"/>
      <c r="H134" s="90"/>
      <c r="I134" s="91"/>
      <c r="J134" s="90"/>
      <c r="K134" s="156"/>
      <c r="L134" s="90"/>
      <c r="M134" s="90"/>
      <c r="N134" s="90"/>
      <c r="O134" s="90"/>
      <c r="P134" s="90"/>
      <c r="Q134" s="98"/>
      <c r="R134" s="90"/>
      <c r="S134" s="214"/>
      <c r="T134" s="90"/>
      <c r="U134" s="98"/>
    </row>
    <row r="135" spans="1:21" hidden="1">
      <c r="A135" s="90"/>
      <c r="B135" s="90"/>
      <c r="C135" s="90"/>
      <c r="D135" s="90" t="s">
        <v>135</v>
      </c>
      <c r="E135" s="90"/>
      <c r="F135" s="90"/>
      <c r="G135" s="90"/>
      <c r="H135" s="90"/>
      <c r="I135" s="91"/>
      <c r="J135" s="90"/>
      <c r="K135" s="156"/>
      <c r="L135" s="90"/>
      <c r="M135" s="90"/>
      <c r="N135" s="90"/>
      <c r="O135" s="90"/>
      <c r="P135" s="90"/>
      <c r="Q135" s="98"/>
      <c r="R135" s="90"/>
      <c r="S135" s="214"/>
      <c r="T135" s="90"/>
      <c r="U135" s="98"/>
    </row>
    <row r="136" spans="1:21" hidden="1">
      <c r="A136" s="94"/>
      <c r="B136" s="94"/>
      <c r="C136" s="94"/>
      <c r="D136" s="94"/>
      <c r="E136" s="94"/>
      <c r="F136" s="94"/>
      <c r="G136" s="94" t="s">
        <v>46</v>
      </c>
      <c r="H136" s="94"/>
      <c r="I136" s="95">
        <v>44653</v>
      </c>
      <c r="J136" s="94"/>
      <c r="K136" s="152" t="s">
        <v>134</v>
      </c>
      <c r="L136" s="94"/>
      <c r="M136" s="94" t="s">
        <v>290</v>
      </c>
      <c r="N136" s="94"/>
      <c r="O136" s="94" t="s">
        <v>133</v>
      </c>
      <c r="P136" s="94"/>
      <c r="Q136" s="97"/>
      <c r="R136" s="94"/>
      <c r="S136" s="213">
        <v>253437.52</v>
      </c>
      <c r="T136" s="94"/>
      <c r="U136" s="97">
        <v>-253437.52</v>
      </c>
    </row>
    <row r="137" spans="1:21" hidden="1">
      <c r="A137" s="94"/>
      <c r="B137" s="94"/>
      <c r="C137" s="94"/>
      <c r="D137" s="94"/>
      <c r="E137" s="94"/>
      <c r="F137" s="94"/>
      <c r="G137" s="94" t="s">
        <v>46</v>
      </c>
      <c r="H137" s="94"/>
      <c r="I137" s="95">
        <v>44658</v>
      </c>
      <c r="J137" s="94"/>
      <c r="K137" s="152" t="s">
        <v>132</v>
      </c>
      <c r="L137" s="94"/>
      <c r="M137" s="94" t="s">
        <v>290</v>
      </c>
      <c r="N137" s="94"/>
      <c r="O137" s="94" t="s">
        <v>131</v>
      </c>
      <c r="P137" s="94"/>
      <c r="Q137" s="97"/>
      <c r="R137" s="94"/>
      <c r="S137" s="213">
        <v>112342.12</v>
      </c>
      <c r="T137" s="94"/>
      <c r="U137" s="97">
        <v>-365779.64</v>
      </c>
    </row>
    <row r="138" spans="1:21" hidden="1">
      <c r="A138" s="94"/>
      <c r="B138" s="94"/>
      <c r="C138" s="94"/>
      <c r="D138" s="94"/>
      <c r="E138" s="94"/>
      <c r="F138" s="94"/>
      <c r="G138" s="94" t="s">
        <v>46</v>
      </c>
      <c r="H138" s="94"/>
      <c r="I138" s="95">
        <v>44694</v>
      </c>
      <c r="J138" s="94"/>
      <c r="K138" s="152" t="s">
        <v>130</v>
      </c>
      <c r="L138" s="94"/>
      <c r="M138" s="94" t="s">
        <v>290</v>
      </c>
      <c r="N138" s="94"/>
      <c r="O138" s="94" t="s">
        <v>129</v>
      </c>
      <c r="P138" s="94"/>
      <c r="Q138" s="97"/>
      <c r="R138" s="94"/>
      <c r="S138" s="213">
        <v>255827.8</v>
      </c>
      <c r="T138" s="94"/>
      <c r="U138" s="97">
        <v>-621607.43999999994</v>
      </c>
    </row>
    <row r="139" spans="1:21" hidden="1">
      <c r="A139" s="94"/>
      <c r="B139" s="94"/>
      <c r="C139" s="94"/>
      <c r="D139" s="94"/>
      <c r="E139" s="94"/>
      <c r="F139" s="94"/>
      <c r="G139" s="94" t="s">
        <v>46</v>
      </c>
      <c r="H139" s="94"/>
      <c r="I139" s="95">
        <v>44694</v>
      </c>
      <c r="J139" s="94"/>
      <c r="K139" s="152" t="s">
        <v>175</v>
      </c>
      <c r="L139" s="94"/>
      <c r="M139" s="94" t="s">
        <v>289</v>
      </c>
      <c r="N139" s="94"/>
      <c r="O139" s="94" t="s">
        <v>133</v>
      </c>
      <c r="P139" s="94"/>
      <c r="Q139" s="97"/>
      <c r="R139" s="94"/>
      <c r="S139" s="213">
        <v>258414</v>
      </c>
      <c r="T139" s="94"/>
      <c r="U139" s="97">
        <v>-880021.44</v>
      </c>
    </row>
    <row r="140" spans="1:21" hidden="1">
      <c r="A140" s="94"/>
      <c r="B140" s="94"/>
      <c r="C140" s="94"/>
      <c r="D140" s="94"/>
      <c r="E140" s="94"/>
      <c r="F140" s="94"/>
      <c r="G140" s="94" t="s">
        <v>46</v>
      </c>
      <c r="H140" s="94"/>
      <c r="I140" s="95">
        <v>44694</v>
      </c>
      <c r="J140" s="94"/>
      <c r="K140" s="152" t="s">
        <v>208</v>
      </c>
      <c r="L140" s="94"/>
      <c r="M140" s="94" t="s">
        <v>287</v>
      </c>
      <c r="N140" s="94"/>
      <c r="O140" s="94" t="s">
        <v>207</v>
      </c>
      <c r="P140" s="94"/>
      <c r="Q140" s="97"/>
      <c r="R140" s="94"/>
      <c r="S140" s="213">
        <v>382772.5</v>
      </c>
      <c r="T140" s="94"/>
      <c r="U140" s="97">
        <v>-1262793.94</v>
      </c>
    </row>
    <row r="141" spans="1:21" hidden="1">
      <c r="A141" s="94"/>
      <c r="B141" s="94"/>
      <c r="C141" s="94"/>
      <c r="D141" s="94"/>
      <c r="E141" s="94"/>
      <c r="F141" s="94"/>
      <c r="G141" s="94" t="s">
        <v>46</v>
      </c>
      <c r="H141" s="94"/>
      <c r="I141" s="95">
        <v>44694</v>
      </c>
      <c r="J141" s="94"/>
      <c r="K141" s="152" t="s">
        <v>226</v>
      </c>
      <c r="L141" s="94"/>
      <c r="M141" s="94" t="s">
        <v>288</v>
      </c>
      <c r="N141" s="94"/>
      <c r="O141" s="94" t="s">
        <v>133</v>
      </c>
      <c r="P141" s="94"/>
      <c r="Q141" s="97"/>
      <c r="R141" s="94"/>
      <c r="S141" s="213">
        <v>210084</v>
      </c>
      <c r="T141" s="94"/>
      <c r="U141" s="97">
        <v>-1472877.94</v>
      </c>
    </row>
    <row r="142" spans="1:21" hidden="1">
      <c r="A142" s="94"/>
      <c r="B142" s="94"/>
      <c r="C142" s="94"/>
      <c r="D142" s="94"/>
      <c r="E142" s="94"/>
      <c r="F142" s="94"/>
      <c r="G142" s="94" t="s">
        <v>46</v>
      </c>
      <c r="H142" s="94"/>
      <c r="I142" s="95">
        <v>44732</v>
      </c>
      <c r="J142" s="94"/>
      <c r="K142" s="152" t="s">
        <v>174</v>
      </c>
      <c r="L142" s="94"/>
      <c r="M142" s="94" t="s">
        <v>289</v>
      </c>
      <c r="N142" s="94"/>
      <c r="O142" s="94" t="s">
        <v>125</v>
      </c>
      <c r="P142" s="94"/>
      <c r="Q142" s="97"/>
      <c r="R142" s="94"/>
      <c r="S142" s="213">
        <v>162802</v>
      </c>
      <c r="T142" s="94"/>
      <c r="U142" s="97">
        <v>-1635679.94</v>
      </c>
    </row>
    <row r="143" spans="1:21" hidden="1">
      <c r="A143" s="94"/>
      <c r="B143" s="94"/>
      <c r="C143" s="94"/>
      <c r="D143" s="94"/>
      <c r="E143" s="94"/>
      <c r="F143" s="94"/>
      <c r="G143" s="94" t="s">
        <v>46</v>
      </c>
      <c r="H143" s="94"/>
      <c r="I143" s="95">
        <v>44732</v>
      </c>
      <c r="J143" s="94"/>
      <c r="K143" s="152" t="s">
        <v>206</v>
      </c>
      <c r="L143" s="94"/>
      <c r="M143" s="94" t="s">
        <v>287</v>
      </c>
      <c r="N143" s="94"/>
      <c r="O143" s="94" t="s">
        <v>205</v>
      </c>
      <c r="P143" s="94"/>
      <c r="Q143" s="97"/>
      <c r="R143" s="94"/>
      <c r="S143" s="213">
        <v>303341.5</v>
      </c>
      <c r="T143" s="94"/>
      <c r="U143" s="97">
        <v>-1939021.44</v>
      </c>
    </row>
    <row r="144" spans="1:21" hidden="1">
      <c r="A144" s="94"/>
      <c r="B144" s="94"/>
      <c r="C144" s="94"/>
      <c r="D144" s="94"/>
      <c r="E144" s="94"/>
      <c r="F144" s="94"/>
      <c r="G144" s="94" t="s">
        <v>46</v>
      </c>
      <c r="H144" s="94"/>
      <c r="I144" s="95">
        <v>44732</v>
      </c>
      <c r="J144" s="94"/>
      <c r="K144" s="152" t="s">
        <v>225</v>
      </c>
      <c r="L144" s="94"/>
      <c r="M144" s="94" t="s">
        <v>288</v>
      </c>
      <c r="N144" s="94"/>
      <c r="O144" s="94" t="s">
        <v>125</v>
      </c>
      <c r="P144" s="94"/>
      <c r="Q144" s="97"/>
      <c r="R144" s="94"/>
      <c r="S144" s="213">
        <v>289966</v>
      </c>
      <c r="T144" s="94"/>
      <c r="U144" s="97">
        <v>-2228987.44</v>
      </c>
    </row>
    <row r="145" spans="1:21" hidden="1">
      <c r="A145" s="94"/>
      <c r="B145" s="94"/>
      <c r="C145" s="94"/>
      <c r="D145" s="94"/>
      <c r="E145" s="94"/>
      <c r="F145" s="94"/>
      <c r="G145" s="94" t="s">
        <v>46</v>
      </c>
      <c r="H145" s="94"/>
      <c r="I145" s="95">
        <v>44735</v>
      </c>
      <c r="J145" s="94"/>
      <c r="K145" s="152" t="s">
        <v>128</v>
      </c>
      <c r="L145" s="94"/>
      <c r="M145" s="94" t="s">
        <v>290</v>
      </c>
      <c r="N145" s="94"/>
      <c r="O145" s="94" t="s">
        <v>125</v>
      </c>
      <c r="P145" s="94"/>
      <c r="Q145" s="97"/>
      <c r="R145" s="94"/>
      <c r="S145" s="213">
        <v>53119.38</v>
      </c>
      <c r="T145" s="94"/>
      <c r="U145" s="97">
        <v>-2282106.8199999998</v>
      </c>
    </row>
    <row r="146" spans="1:21" hidden="1">
      <c r="A146" s="94"/>
      <c r="B146" s="94"/>
      <c r="C146" s="94"/>
      <c r="D146" s="94"/>
      <c r="E146" s="94"/>
      <c r="F146" s="94"/>
      <c r="G146" s="94" t="s">
        <v>46</v>
      </c>
      <c r="H146" s="94"/>
      <c r="I146" s="95">
        <v>44770</v>
      </c>
      <c r="J146" s="94"/>
      <c r="K146" s="152" t="s">
        <v>173</v>
      </c>
      <c r="L146" s="94"/>
      <c r="M146" s="94" t="s">
        <v>289</v>
      </c>
      <c r="N146" s="94"/>
      <c r="O146" s="94" t="s">
        <v>125</v>
      </c>
      <c r="P146" s="94"/>
      <c r="Q146" s="97"/>
      <c r="R146" s="94"/>
      <c r="S146" s="213">
        <v>101574</v>
      </c>
      <c r="T146" s="94"/>
      <c r="U146" s="97">
        <v>-2383680.8199999998</v>
      </c>
    </row>
    <row r="147" spans="1:21" hidden="1">
      <c r="A147" s="94"/>
      <c r="B147" s="94"/>
      <c r="C147" s="94"/>
      <c r="D147" s="94"/>
      <c r="E147" s="94"/>
      <c r="F147" s="94"/>
      <c r="G147" s="94" t="s">
        <v>46</v>
      </c>
      <c r="H147" s="94"/>
      <c r="I147" s="95">
        <v>44775</v>
      </c>
      <c r="J147" s="94"/>
      <c r="K147" s="152" t="s">
        <v>223</v>
      </c>
      <c r="L147" s="94"/>
      <c r="M147" s="94" t="s">
        <v>288</v>
      </c>
      <c r="N147" s="94"/>
      <c r="O147" s="94" t="s">
        <v>125</v>
      </c>
      <c r="P147" s="94"/>
      <c r="Q147" s="97"/>
      <c r="R147" s="94"/>
      <c r="S147" s="213">
        <v>356756.5</v>
      </c>
      <c r="T147" s="94"/>
      <c r="U147" s="97">
        <v>-2740437.32</v>
      </c>
    </row>
    <row r="148" spans="1:21" hidden="1">
      <c r="A148" s="94"/>
      <c r="B148" s="94"/>
      <c r="C148" s="94"/>
      <c r="D148" s="94"/>
      <c r="E148" s="94"/>
      <c r="F148" s="94"/>
      <c r="G148" s="94" t="s">
        <v>46</v>
      </c>
      <c r="H148" s="94"/>
      <c r="I148" s="95">
        <v>44782</v>
      </c>
      <c r="J148" s="94"/>
      <c r="K148" s="152" t="s">
        <v>204</v>
      </c>
      <c r="L148" s="94"/>
      <c r="M148" s="94" t="s">
        <v>287</v>
      </c>
      <c r="N148" s="94"/>
      <c r="O148" s="94" t="s">
        <v>203</v>
      </c>
      <c r="P148" s="94"/>
      <c r="Q148" s="97"/>
      <c r="R148" s="94"/>
      <c r="S148" s="213">
        <v>452532.95</v>
      </c>
      <c r="T148" s="94"/>
      <c r="U148" s="97">
        <v>-3192970.27</v>
      </c>
    </row>
    <row r="149" spans="1:21" hidden="1">
      <c r="A149" s="94"/>
      <c r="B149" s="94"/>
      <c r="C149" s="94"/>
      <c r="D149" s="94"/>
      <c r="E149" s="94"/>
      <c r="F149" s="94"/>
      <c r="G149" s="94" t="s">
        <v>46</v>
      </c>
      <c r="H149" s="94"/>
      <c r="I149" s="95">
        <v>44795</v>
      </c>
      <c r="J149" s="94"/>
      <c r="K149" s="152" t="s">
        <v>221</v>
      </c>
      <c r="L149" s="94"/>
      <c r="M149" s="94" t="s">
        <v>288</v>
      </c>
      <c r="N149" s="94"/>
      <c r="O149" s="94" t="s">
        <v>125</v>
      </c>
      <c r="P149" s="94"/>
      <c r="Q149" s="97"/>
      <c r="R149" s="94"/>
      <c r="S149" s="213">
        <v>164167.5</v>
      </c>
      <c r="T149" s="94"/>
      <c r="U149" s="97">
        <v>-3357137.77</v>
      </c>
    </row>
    <row r="150" spans="1:21" hidden="1">
      <c r="A150" s="94"/>
      <c r="B150" s="94"/>
      <c r="C150" s="94"/>
      <c r="D150" s="94"/>
      <c r="E150" s="94"/>
      <c r="F150" s="94"/>
      <c r="G150" s="94" t="s">
        <v>46</v>
      </c>
      <c r="H150" s="94"/>
      <c r="I150" s="95">
        <v>44819</v>
      </c>
      <c r="J150" s="94"/>
      <c r="K150" s="152" t="s">
        <v>200</v>
      </c>
      <c r="L150" s="94"/>
      <c r="M150" s="94" t="s">
        <v>287</v>
      </c>
      <c r="N150" s="94"/>
      <c r="O150" s="94" t="s">
        <v>202</v>
      </c>
      <c r="P150" s="94"/>
      <c r="Q150" s="97"/>
      <c r="R150" s="94"/>
      <c r="S150" s="213">
        <v>361353.05</v>
      </c>
      <c r="T150" s="94"/>
      <c r="U150" s="97">
        <v>-3718490.82</v>
      </c>
    </row>
    <row r="151" spans="1:21" hidden="1">
      <c r="A151" s="94"/>
      <c r="B151" s="94"/>
      <c r="C151" s="94"/>
      <c r="D151" s="94"/>
      <c r="E151" s="94"/>
      <c r="F151" s="94"/>
      <c r="G151" s="94" t="s">
        <v>46</v>
      </c>
      <c r="H151" s="94"/>
      <c r="I151" s="95">
        <v>44905</v>
      </c>
      <c r="J151" s="94"/>
      <c r="K151" s="152" t="s">
        <v>224</v>
      </c>
      <c r="L151" s="94"/>
      <c r="M151" s="94" t="s">
        <v>288</v>
      </c>
      <c r="N151" s="94"/>
      <c r="O151" s="94" t="s">
        <v>125</v>
      </c>
      <c r="P151" s="94"/>
      <c r="Q151" s="97"/>
      <c r="R151" s="94"/>
      <c r="S151" s="213">
        <v>270844.40000000002</v>
      </c>
      <c r="T151" s="94"/>
      <c r="U151" s="97">
        <v>-3989335.22</v>
      </c>
    </row>
    <row r="152" spans="1:21" hidden="1">
      <c r="A152" s="94"/>
      <c r="B152" s="94"/>
      <c r="C152" s="94"/>
      <c r="D152" s="94"/>
      <c r="E152" s="94"/>
      <c r="F152" s="94"/>
      <c r="G152" s="94" t="s">
        <v>46</v>
      </c>
      <c r="H152" s="94"/>
      <c r="I152" s="95">
        <v>44910</v>
      </c>
      <c r="J152" s="94"/>
      <c r="K152" s="152" t="s">
        <v>127</v>
      </c>
      <c r="L152" s="94"/>
      <c r="M152" s="94" t="s">
        <v>290</v>
      </c>
      <c r="N152" s="94"/>
      <c r="O152" s="94" t="s">
        <v>125</v>
      </c>
      <c r="P152" s="94"/>
      <c r="Q152" s="97"/>
      <c r="R152" s="94"/>
      <c r="S152" s="213">
        <v>274273.18</v>
      </c>
      <c r="T152" s="94"/>
      <c r="U152" s="97">
        <v>-4263608.4000000004</v>
      </c>
    </row>
    <row r="153" spans="1:21" hidden="1">
      <c r="A153" s="94"/>
      <c r="B153" s="94"/>
      <c r="C153" s="94"/>
      <c r="D153" s="94"/>
      <c r="E153" s="94"/>
      <c r="F153" s="94"/>
      <c r="G153" s="94" t="s">
        <v>46</v>
      </c>
      <c r="H153" s="94"/>
      <c r="I153" s="95">
        <v>44910</v>
      </c>
      <c r="J153" s="94"/>
      <c r="K153" s="152" t="s">
        <v>172</v>
      </c>
      <c r="L153" s="94"/>
      <c r="M153" s="94" t="s">
        <v>289</v>
      </c>
      <c r="N153" s="94"/>
      <c r="O153" s="94" t="s">
        <v>125</v>
      </c>
      <c r="P153" s="94"/>
      <c r="Q153" s="97"/>
      <c r="R153" s="94"/>
      <c r="S153" s="213">
        <v>268202</v>
      </c>
      <c r="T153" s="94"/>
      <c r="U153" s="97">
        <v>-4531810.4000000004</v>
      </c>
    </row>
    <row r="154" spans="1:21" hidden="1">
      <c r="A154" s="94"/>
      <c r="B154" s="94"/>
      <c r="C154" s="94"/>
      <c r="D154" s="94"/>
      <c r="E154" s="94"/>
      <c r="F154" s="94"/>
      <c r="G154" s="94" t="s">
        <v>46</v>
      </c>
      <c r="H154" s="94"/>
      <c r="I154" s="95">
        <v>44915</v>
      </c>
      <c r="J154" s="94"/>
      <c r="K154" s="152" t="s">
        <v>171</v>
      </c>
      <c r="L154" s="94"/>
      <c r="M154" s="94" t="s">
        <v>289</v>
      </c>
      <c r="N154" s="94"/>
      <c r="O154" s="94" t="s">
        <v>125</v>
      </c>
      <c r="P154" s="94"/>
      <c r="Q154" s="97"/>
      <c r="R154" s="94"/>
      <c r="S154" s="213">
        <v>174778</v>
      </c>
      <c r="T154" s="94"/>
      <c r="U154" s="97">
        <v>-4706588.4000000004</v>
      </c>
    </row>
    <row r="155" spans="1:21" hidden="1">
      <c r="A155" s="94"/>
      <c r="B155" s="94"/>
      <c r="C155" s="94"/>
      <c r="D155" s="94"/>
      <c r="E155" s="94"/>
      <c r="F155" s="94"/>
      <c r="G155" s="94" t="s">
        <v>46</v>
      </c>
      <c r="H155" s="94"/>
      <c r="I155" s="95">
        <v>45001</v>
      </c>
      <c r="J155" s="94"/>
      <c r="K155" s="152" t="s">
        <v>170</v>
      </c>
      <c r="L155" s="94"/>
      <c r="M155" s="94" t="s">
        <v>289</v>
      </c>
      <c r="N155" s="94"/>
      <c r="O155" s="94" t="s">
        <v>125</v>
      </c>
      <c r="P155" s="94"/>
      <c r="Q155" s="97"/>
      <c r="R155" s="94"/>
      <c r="S155" s="213">
        <v>209300</v>
      </c>
      <c r="T155" s="94"/>
      <c r="U155" s="97">
        <v>-4915888.4000000004</v>
      </c>
    </row>
    <row r="156" spans="1:21" hidden="1">
      <c r="A156" s="94"/>
      <c r="B156" s="94"/>
      <c r="C156" s="94"/>
      <c r="D156" s="94"/>
      <c r="E156" s="94"/>
      <c r="F156" s="94"/>
      <c r="G156" s="94" t="s">
        <v>46</v>
      </c>
      <c r="H156" s="94"/>
      <c r="I156" s="95">
        <v>45078</v>
      </c>
      <c r="J156" s="94"/>
      <c r="K156" s="152" t="s">
        <v>169</v>
      </c>
      <c r="L156" s="94"/>
      <c r="M156" s="94" t="s">
        <v>289</v>
      </c>
      <c r="N156" s="94"/>
      <c r="O156" s="94" t="s">
        <v>125</v>
      </c>
      <c r="P156" s="94"/>
      <c r="Q156" s="97"/>
      <c r="R156" s="94"/>
      <c r="S156" s="213">
        <v>657000</v>
      </c>
      <c r="T156" s="94"/>
      <c r="U156" s="97">
        <v>-5572888.4000000004</v>
      </c>
    </row>
    <row r="157" spans="1:21" hidden="1">
      <c r="A157" s="94"/>
      <c r="B157" s="94"/>
      <c r="C157" s="94"/>
      <c r="D157" s="94"/>
      <c r="E157" s="94"/>
      <c r="F157" s="94"/>
      <c r="G157" s="94" t="s">
        <v>46</v>
      </c>
      <c r="H157" s="94"/>
      <c r="I157" s="95">
        <v>45078</v>
      </c>
      <c r="J157" s="94"/>
      <c r="K157" s="152" t="s">
        <v>126</v>
      </c>
      <c r="L157" s="94"/>
      <c r="M157" s="94" t="s">
        <v>290</v>
      </c>
      <c r="N157" s="94"/>
      <c r="O157" s="94" t="s">
        <v>125</v>
      </c>
      <c r="P157" s="94"/>
      <c r="Q157" s="97"/>
      <c r="R157" s="94"/>
      <c r="S157" s="213">
        <v>351000</v>
      </c>
      <c r="T157" s="94"/>
      <c r="U157" s="97">
        <v>-5923888.4000000004</v>
      </c>
    </row>
    <row r="158" spans="1:21" hidden="1">
      <c r="A158" s="94"/>
      <c r="B158" s="94"/>
      <c r="C158" s="94"/>
      <c r="D158" s="94"/>
      <c r="E158" s="94"/>
      <c r="F158" s="94"/>
      <c r="G158" s="94" t="s">
        <v>46</v>
      </c>
      <c r="H158" s="94"/>
      <c r="I158" s="95">
        <v>45082</v>
      </c>
      <c r="J158" s="94"/>
      <c r="K158" s="152" t="s">
        <v>168</v>
      </c>
      <c r="L158" s="94"/>
      <c r="M158" s="94" t="s">
        <v>289</v>
      </c>
      <c r="N158" s="94"/>
      <c r="O158" s="94" t="s">
        <v>125</v>
      </c>
      <c r="P158" s="94"/>
      <c r="Q158" s="97"/>
      <c r="R158" s="94"/>
      <c r="S158" s="213">
        <v>123740</v>
      </c>
      <c r="T158" s="94"/>
      <c r="U158" s="97">
        <v>-6047628.4000000004</v>
      </c>
    </row>
    <row r="159" spans="1:21" ht="15.75" hidden="1" thickBot="1">
      <c r="A159" s="94"/>
      <c r="B159" s="94"/>
      <c r="C159" s="94"/>
      <c r="D159" s="94"/>
      <c r="E159" s="94"/>
      <c r="F159" s="94"/>
      <c r="G159" s="94" t="s">
        <v>46</v>
      </c>
      <c r="H159" s="94"/>
      <c r="I159" s="95">
        <v>45082</v>
      </c>
      <c r="J159" s="94"/>
      <c r="K159" s="152" t="s">
        <v>167</v>
      </c>
      <c r="L159" s="94"/>
      <c r="M159" s="94" t="s">
        <v>289</v>
      </c>
      <c r="N159" s="94"/>
      <c r="O159" s="94" t="s">
        <v>125</v>
      </c>
      <c r="P159" s="94"/>
      <c r="Q159" s="99"/>
      <c r="R159" s="94"/>
      <c r="S159" s="215">
        <v>344190</v>
      </c>
      <c r="T159" s="94"/>
      <c r="U159" s="99">
        <v>-6391818.4000000004</v>
      </c>
    </row>
    <row r="160" spans="1:21" hidden="1">
      <c r="A160" s="94"/>
      <c r="B160" s="94"/>
      <c r="C160" s="94"/>
      <c r="D160" s="94" t="s">
        <v>124</v>
      </c>
      <c r="E160" s="94"/>
      <c r="F160" s="94"/>
      <c r="G160" s="94"/>
      <c r="H160" s="94"/>
      <c r="I160" s="95"/>
      <c r="J160" s="94"/>
      <c r="K160" s="152"/>
      <c r="L160" s="94"/>
      <c r="M160" s="94"/>
      <c r="N160" s="94"/>
      <c r="O160" s="94"/>
      <c r="P160" s="94"/>
      <c r="Q160" s="97">
        <f>ROUND(SUM(Q135:Q159),5)</f>
        <v>0</v>
      </c>
      <c r="R160" s="94"/>
      <c r="S160" s="213">
        <f>ROUND(SUM(S135:S159),5)</f>
        <v>6391818.4000000004</v>
      </c>
      <c r="T160" s="94"/>
      <c r="U160" s="97">
        <f>U159</f>
        <v>-6391818.4000000004</v>
      </c>
    </row>
    <row r="161" spans="1:21" hidden="1">
      <c r="A161" s="90"/>
      <c r="B161" s="90"/>
      <c r="C161" s="90"/>
      <c r="D161" s="90" t="s">
        <v>201</v>
      </c>
      <c r="E161" s="90"/>
      <c r="F161" s="90"/>
      <c r="G161" s="90"/>
      <c r="H161" s="90"/>
      <c r="I161" s="91"/>
      <c r="J161" s="90"/>
      <c r="K161" s="156"/>
      <c r="L161" s="90"/>
      <c r="M161" s="90"/>
      <c r="N161" s="90"/>
      <c r="O161" s="90"/>
      <c r="P161" s="90"/>
      <c r="Q161" s="98"/>
      <c r="R161" s="90"/>
      <c r="S161" s="214"/>
      <c r="T161" s="90"/>
      <c r="U161" s="98"/>
    </row>
    <row r="162" spans="1:21" hidden="1">
      <c r="A162" s="94"/>
      <c r="B162" s="94"/>
      <c r="C162" s="94"/>
      <c r="D162" s="94"/>
      <c r="E162" s="94"/>
      <c r="F162" s="94"/>
      <c r="G162" s="94" t="s">
        <v>46</v>
      </c>
      <c r="H162" s="94"/>
      <c r="I162" s="95">
        <v>44775</v>
      </c>
      <c r="J162" s="94"/>
      <c r="K162" s="152" t="s">
        <v>223</v>
      </c>
      <c r="L162" s="94"/>
      <c r="M162" s="94" t="s">
        <v>288</v>
      </c>
      <c r="N162" s="94"/>
      <c r="O162" s="94" t="s">
        <v>222</v>
      </c>
      <c r="P162" s="94"/>
      <c r="Q162" s="97">
        <v>4681.76</v>
      </c>
      <c r="R162" s="94"/>
      <c r="S162" s="213"/>
      <c r="T162" s="94"/>
      <c r="U162" s="97">
        <v>4681.76</v>
      </c>
    </row>
    <row r="163" spans="1:21" hidden="1">
      <c r="A163" s="94"/>
      <c r="B163" s="94"/>
      <c r="C163" s="94"/>
      <c r="D163" s="94"/>
      <c r="E163" s="94"/>
      <c r="F163" s="94"/>
      <c r="G163" s="94" t="s">
        <v>46</v>
      </c>
      <c r="H163" s="94"/>
      <c r="I163" s="95">
        <v>44795</v>
      </c>
      <c r="J163" s="94"/>
      <c r="K163" s="152" t="s">
        <v>221</v>
      </c>
      <c r="L163" s="94"/>
      <c r="M163" s="94" t="s">
        <v>288</v>
      </c>
      <c r="N163" s="94"/>
      <c r="O163" s="94" t="s">
        <v>220</v>
      </c>
      <c r="P163" s="94"/>
      <c r="Q163" s="97">
        <v>9945.4699999999993</v>
      </c>
      <c r="R163" s="94"/>
      <c r="S163" s="213"/>
      <c r="T163" s="94"/>
      <c r="U163" s="97">
        <v>14627.23</v>
      </c>
    </row>
    <row r="164" spans="1:21" hidden="1">
      <c r="A164" s="94"/>
      <c r="B164" s="94"/>
      <c r="C164" s="94"/>
      <c r="D164" s="94"/>
      <c r="E164" s="94"/>
      <c r="F164" s="94"/>
      <c r="G164" s="94" t="s">
        <v>46</v>
      </c>
      <c r="H164" s="94"/>
      <c r="I164" s="95">
        <v>44819</v>
      </c>
      <c r="J164" s="94"/>
      <c r="K164" s="152" t="s">
        <v>200</v>
      </c>
      <c r="L164" s="94"/>
      <c r="M164" s="94" t="s">
        <v>287</v>
      </c>
      <c r="N164" s="94"/>
      <c r="O164" s="94" t="s">
        <v>199</v>
      </c>
      <c r="P164" s="94"/>
      <c r="Q164" s="97">
        <v>10274.200000000001</v>
      </c>
      <c r="R164" s="94"/>
      <c r="S164" s="213"/>
      <c r="T164" s="94"/>
      <c r="U164" s="97">
        <v>24901.43</v>
      </c>
    </row>
    <row r="165" spans="1:21" hidden="1">
      <c r="A165" s="94"/>
      <c r="B165" s="94"/>
      <c r="C165" s="94"/>
      <c r="D165" s="94" t="s">
        <v>198</v>
      </c>
      <c r="E165" s="94"/>
      <c r="F165" s="94"/>
      <c r="G165" s="94"/>
      <c r="H165" s="94"/>
      <c r="I165" s="95"/>
      <c r="J165" s="94"/>
      <c r="K165" s="152"/>
      <c r="L165" s="94"/>
      <c r="M165" s="94"/>
      <c r="N165" s="94"/>
      <c r="O165" s="94"/>
      <c r="P165" s="94"/>
      <c r="Q165" s="93">
        <f>ROUND(SUM(Q161:Q164),5)</f>
        <v>24901.43</v>
      </c>
      <c r="R165" s="94"/>
      <c r="S165" s="212">
        <f>ROUND(SUM(S161:S164),5)</f>
        <v>0</v>
      </c>
      <c r="T165" s="94"/>
      <c r="U165" s="93">
        <f>U164</f>
        <v>24901.43</v>
      </c>
    </row>
    <row r="166" spans="1:21" hidden="1">
      <c r="A166" s="94"/>
      <c r="B166" s="94"/>
      <c r="C166" s="94" t="s">
        <v>123</v>
      </c>
      <c r="D166" s="94"/>
      <c r="E166" s="94"/>
      <c r="F166" s="94"/>
      <c r="G166" s="94"/>
      <c r="H166" s="94"/>
      <c r="I166" s="95"/>
      <c r="J166" s="94"/>
      <c r="K166" s="152"/>
      <c r="L166" s="94"/>
      <c r="M166" s="94"/>
      <c r="N166" s="94"/>
      <c r="O166" s="94"/>
      <c r="P166" s="94"/>
      <c r="Q166" s="93">
        <f>ROUND(Q160+Q165,5)</f>
        <v>24901.43</v>
      </c>
      <c r="R166" s="94"/>
      <c r="S166" s="212">
        <f>ROUND(S160+S165,5)</f>
        <v>6391818.4000000004</v>
      </c>
      <c r="T166" s="94"/>
      <c r="U166" s="93">
        <f>ROUND(U160+U165,5)</f>
        <v>-6366916.9699999997</v>
      </c>
    </row>
    <row r="167" spans="1:21" hidden="1">
      <c r="A167" s="94"/>
      <c r="B167" s="94" t="s">
        <v>122</v>
      </c>
      <c r="C167" s="94"/>
      <c r="D167" s="94"/>
      <c r="E167" s="94"/>
      <c r="F167" s="94"/>
      <c r="G167" s="94"/>
      <c r="H167" s="94"/>
      <c r="I167" s="95"/>
      <c r="J167" s="94"/>
      <c r="K167" s="152"/>
      <c r="L167" s="94"/>
      <c r="M167" s="94"/>
      <c r="N167" s="94"/>
      <c r="O167" s="94"/>
      <c r="P167" s="94"/>
      <c r="Q167" s="93">
        <f>Q166</f>
        <v>24901.43</v>
      </c>
      <c r="R167" s="94"/>
      <c r="S167" s="212">
        <f>S166</f>
        <v>6391818.4000000004</v>
      </c>
      <c r="T167" s="94"/>
      <c r="U167" s="93">
        <f>U166</f>
        <v>-6366916.9699999997</v>
      </c>
    </row>
    <row r="168" spans="1:21" s="88" customFormat="1" ht="13.5" hidden="1" thickBot="1">
      <c r="A168" s="90" t="s">
        <v>121</v>
      </c>
      <c r="B168" s="90"/>
      <c r="C168" s="90"/>
      <c r="D168" s="90"/>
      <c r="E168" s="90"/>
      <c r="F168" s="90"/>
      <c r="G168" s="90"/>
      <c r="H168" s="90"/>
      <c r="I168" s="91"/>
      <c r="J168" s="90"/>
      <c r="K168" s="156"/>
      <c r="L168" s="90"/>
      <c r="M168" s="90"/>
      <c r="N168" s="90"/>
      <c r="O168" s="90"/>
      <c r="P168" s="90"/>
      <c r="Q168" s="89">
        <f>ROUND(Q58+Q104+Q132+Q167,5)</f>
        <v>7125188.2999999998</v>
      </c>
      <c r="R168" s="90"/>
      <c r="S168" s="211">
        <f>ROUND(S58+S104+S132+S167,5)</f>
        <v>12790813.57</v>
      </c>
      <c r="T168" s="90"/>
      <c r="U168" s="89">
        <f>ROUND(U58+U104+U132+U167,5)</f>
        <v>-5665625.2699999996</v>
      </c>
    </row>
    <row r="169" spans="1:21" hidden="1"/>
    <row r="170" spans="1:21" hidden="1"/>
  </sheetData>
  <pageMargins left="0.7" right="0.7" top="0.75" bottom="0.75" header="0.1" footer="0.3"/>
  <pageSetup orientation="portrait" r:id="rId1"/>
  <headerFooter>
    <oddHeader>&amp;L&amp;"Arial,Bold"&amp;10 5:17 PM
&amp;"Arial,Bold"&amp;10 08-08-23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1638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76200</xdr:colOff>
                <xdr:row>1</xdr:row>
                <xdr:rowOff>28575</xdr:rowOff>
              </to>
            </anchor>
          </controlPr>
        </control>
      </mc:Choice>
      <mc:Fallback>
        <control shapeId="16385" r:id="rId4" name="FILTER"/>
      </mc:Fallback>
    </mc:AlternateContent>
    <mc:AlternateContent xmlns:mc="http://schemas.openxmlformats.org/markup-compatibility/2006">
      <mc:Choice Requires="x14">
        <control shapeId="1638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76200</xdr:colOff>
                <xdr:row>1</xdr:row>
                <xdr:rowOff>28575</xdr:rowOff>
              </to>
            </anchor>
          </controlPr>
        </control>
      </mc:Choice>
      <mc:Fallback>
        <control shapeId="16386" r:id="rId6" name="HEADER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53"/>
  <sheetViews>
    <sheetView workbookViewId="0">
      <pane xSplit="4" ySplit="2" topLeftCell="E3" activePane="bottomRight" state="frozenSplit"/>
      <selection pane="topRight" activeCell="E1" sqref="E1"/>
      <selection pane="bottomLeft" activeCell="A2" sqref="A2"/>
      <selection pane="bottomRight" activeCell="Q14" sqref="Q14"/>
    </sheetView>
  </sheetViews>
  <sheetFormatPr defaultRowHeight="15"/>
  <cols>
    <col min="1" max="3" width="3" style="87" customWidth="1"/>
    <col min="4" max="4" width="2.85546875" style="87" customWidth="1"/>
    <col min="5" max="6" width="2.28515625" style="87" customWidth="1"/>
    <col min="7" max="7" width="14" bestFit="1" customWidth="1"/>
    <col min="8" max="8" width="2.28515625" customWidth="1"/>
    <col min="9" max="9" width="10.140625" bestFit="1" customWidth="1"/>
    <col min="10" max="10" width="2.28515625" customWidth="1"/>
    <col min="11" max="11" width="6" bestFit="1" customWidth="1"/>
    <col min="12" max="12" width="2.28515625" customWidth="1"/>
    <col min="13" max="13" width="40.7109375" bestFit="1" customWidth="1"/>
    <col min="14" max="14" width="2.28515625" customWidth="1"/>
    <col min="15" max="15" width="56.140625" customWidth="1"/>
    <col min="16" max="16" width="2.28515625" customWidth="1"/>
    <col min="17" max="17" width="11.7109375" bestFit="1" customWidth="1"/>
    <col min="18" max="18" width="2.28515625" customWidth="1"/>
    <col min="19" max="19" width="11.7109375" bestFit="1" customWidth="1"/>
    <col min="20" max="20" width="2.28515625" customWidth="1"/>
    <col min="21" max="21" width="12.28515625" bestFit="1" customWidth="1"/>
  </cols>
  <sheetData>
    <row r="1" spans="1:21">
      <c r="A1" s="92"/>
      <c r="B1" s="92" t="s">
        <v>166</v>
      </c>
      <c r="C1" s="92"/>
      <c r="D1" s="92"/>
      <c r="E1" s="92"/>
      <c r="F1" s="92"/>
      <c r="G1" s="90"/>
      <c r="H1" s="90"/>
      <c r="I1" s="91"/>
      <c r="J1" s="90"/>
      <c r="K1" s="90"/>
      <c r="L1" s="90"/>
      <c r="M1" s="90"/>
      <c r="N1" s="90"/>
      <c r="O1" s="90"/>
      <c r="P1" s="90"/>
      <c r="Q1" s="98"/>
      <c r="R1" s="90"/>
      <c r="S1" s="98"/>
      <c r="T1" s="90"/>
      <c r="U1" s="98"/>
    </row>
    <row r="2" spans="1:21" s="101" customFormat="1" ht="15.75" thickBot="1">
      <c r="A2" s="104"/>
      <c r="B2" s="104"/>
      <c r="C2" s="104"/>
      <c r="D2" s="104"/>
      <c r="E2" s="104"/>
      <c r="F2" s="104"/>
      <c r="G2" s="102" t="s">
        <v>97</v>
      </c>
      <c r="H2" s="103"/>
      <c r="I2" s="102" t="s">
        <v>96</v>
      </c>
      <c r="J2" s="103"/>
      <c r="K2" s="102" t="s">
        <v>95</v>
      </c>
      <c r="L2" s="103"/>
      <c r="M2" s="102" t="s">
        <v>93</v>
      </c>
      <c r="N2" s="103"/>
      <c r="O2" s="102" t="s">
        <v>92</v>
      </c>
      <c r="P2" s="103"/>
      <c r="Q2" s="102" t="s">
        <v>91</v>
      </c>
      <c r="R2" s="103"/>
      <c r="S2" s="102" t="s">
        <v>90</v>
      </c>
      <c r="T2" s="103"/>
      <c r="U2" s="102" t="s">
        <v>31</v>
      </c>
    </row>
    <row r="3" spans="1:21" ht="15.75" thickTop="1">
      <c r="A3" s="96"/>
      <c r="B3" s="96"/>
      <c r="C3" s="96"/>
      <c r="D3" s="96"/>
      <c r="E3" s="96"/>
      <c r="F3" s="96"/>
      <c r="G3" s="94" t="s">
        <v>80</v>
      </c>
      <c r="H3" s="94"/>
      <c r="I3" s="95">
        <v>44595</v>
      </c>
      <c r="J3" s="94"/>
      <c r="K3" s="94" t="s">
        <v>88</v>
      </c>
      <c r="L3" s="94"/>
      <c r="M3" s="94" t="s">
        <v>44</v>
      </c>
      <c r="N3" s="94"/>
      <c r="O3" s="94" t="s">
        <v>87</v>
      </c>
      <c r="P3" s="94"/>
      <c r="Q3" s="97"/>
      <c r="R3" s="94"/>
      <c r="S3" s="97">
        <v>250000</v>
      </c>
      <c r="T3" s="94"/>
      <c r="U3" s="97">
        <v>-250000</v>
      </c>
    </row>
    <row r="4" spans="1:21">
      <c r="A4" s="96"/>
      <c r="B4" s="96"/>
      <c r="C4" s="96"/>
      <c r="D4" s="96"/>
      <c r="E4" s="96"/>
      <c r="F4" s="96"/>
      <c r="G4" s="94" t="s">
        <v>80</v>
      </c>
      <c r="H4" s="94"/>
      <c r="I4" s="95">
        <v>44625</v>
      </c>
      <c r="J4" s="94"/>
      <c r="K4" s="94" t="s">
        <v>86</v>
      </c>
      <c r="L4" s="94"/>
      <c r="M4" s="94" t="s">
        <v>44</v>
      </c>
      <c r="N4" s="94"/>
      <c r="O4" s="94" t="s">
        <v>85</v>
      </c>
      <c r="P4" s="94"/>
      <c r="Q4" s="97"/>
      <c r="R4" s="94"/>
      <c r="S4" s="97">
        <v>100000</v>
      </c>
      <c r="T4" s="94"/>
      <c r="U4" s="97">
        <v>-350000</v>
      </c>
    </row>
    <row r="5" spans="1:21">
      <c r="A5" s="96"/>
      <c r="B5" s="96"/>
      <c r="C5" s="96"/>
      <c r="D5" s="96"/>
      <c r="E5" s="96"/>
      <c r="F5" s="96"/>
      <c r="G5" s="94" t="s">
        <v>46</v>
      </c>
      <c r="H5" s="94"/>
      <c r="I5" s="95">
        <v>44653</v>
      </c>
      <c r="J5" s="94"/>
      <c r="K5" s="94" t="s">
        <v>134</v>
      </c>
      <c r="L5" s="94"/>
      <c r="M5" s="94" t="s">
        <v>44</v>
      </c>
      <c r="N5" s="94"/>
      <c r="O5" s="94" t="s">
        <v>84</v>
      </c>
      <c r="P5" s="94"/>
      <c r="Q5" s="97">
        <v>212887.52</v>
      </c>
      <c r="R5" s="94"/>
      <c r="S5" s="97"/>
      <c r="T5" s="94"/>
      <c r="U5" s="97">
        <v>-137112.48000000001</v>
      </c>
    </row>
    <row r="6" spans="1:21">
      <c r="A6" s="96"/>
      <c r="B6" s="96"/>
      <c r="C6" s="96"/>
      <c r="D6" s="96"/>
      <c r="E6" s="96"/>
      <c r="F6" s="96"/>
      <c r="G6" s="94" t="s">
        <v>46</v>
      </c>
      <c r="H6" s="94"/>
      <c r="I6" s="95">
        <v>44658</v>
      </c>
      <c r="J6" s="94"/>
      <c r="K6" s="94" t="s">
        <v>132</v>
      </c>
      <c r="L6" s="94"/>
      <c r="M6" s="94" t="s">
        <v>44</v>
      </c>
      <c r="N6" s="94"/>
      <c r="O6" s="94" t="s">
        <v>83</v>
      </c>
      <c r="P6" s="94"/>
      <c r="Q6" s="97">
        <v>94367.39</v>
      </c>
      <c r="R6" s="94"/>
      <c r="S6" s="97"/>
      <c r="T6" s="94"/>
      <c r="U6" s="97">
        <v>-42745.09</v>
      </c>
    </row>
    <row r="7" spans="1:21">
      <c r="A7" s="96"/>
      <c r="B7" s="96"/>
      <c r="C7" s="96"/>
      <c r="D7" s="96"/>
      <c r="E7" s="96"/>
      <c r="F7" s="96"/>
      <c r="G7" s="94" t="s">
        <v>80</v>
      </c>
      <c r="H7" s="94"/>
      <c r="I7" s="95">
        <v>44669</v>
      </c>
      <c r="J7" s="94"/>
      <c r="K7" s="94" t="s">
        <v>165</v>
      </c>
      <c r="L7" s="94"/>
      <c r="M7" s="94" t="s">
        <v>44</v>
      </c>
      <c r="N7" s="94"/>
      <c r="O7" s="94" t="s">
        <v>82</v>
      </c>
      <c r="P7" s="94"/>
      <c r="Q7" s="97"/>
      <c r="R7" s="94"/>
      <c r="S7" s="97">
        <v>50000</v>
      </c>
      <c r="T7" s="94"/>
      <c r="U7" s="97">
        <v>-92745.09</v>
      </c>
    </row>
    <row r="8" spans="1:21">
      <c r="A8" s="96"/>
      <c r="B8" s="96"/>
      <c r="C8" s="96"/>
      <c r="D8" s="96"/>
      <c r="E8" s="96"/>
      <c r="F8" s="96"/>
      <c r="G8" s="94" t="s">
        <v>46</v>
      </c>
      <c r="H8" s="94"/>
      <c r="I8" s="95">
        <v>44694</v>
      </c>
      <c r="J8" s="94"/>
      <c r="K8" s="94" t="s">
        <v>130</v>
      </c>
      <c r="L8" s="94"/>
      <c r="M8" s="94" t="s">
        <v>44</v>
      </c>
      <c r="N8" s="94"/>
      <c r="O8" s="94" t="s">
        <v>78</v>
      </c>
      <c r="P8" s="94"/>
      <c r="Q8" s="97">
        <v>214895.35</v>
      </c>
      <c r="R8" s="94"/>
      <c r="S8" s="97"/>
      <c r="T8" s="94"/>
      <c r="U8" s="97">
        <v>122150.26</v>
      </c>
    </row>
    <row r="9" spans="1:21">
      <c r="A9" s="96"/>
      <c r="B9" s="96"/>
      <c r="C9" s="96"/>
      <c r="D9" s="96"/>
      <c r="E9" s="96"/>
      <c r="F9" s="96"/>
      <c r="G9" s="94" t="s">
        <v>42</v>
      </c>
      <c r="H9" s="94"/>
      <c r="I9" s="95">
        <v>44728</v>
      </c>
      <c r="J9" s="94"/>
      <c r="K9" s="94" t="s">
        <v>164</v>
      </c>
      <c r="L9" s="94"/>
      <c r="M9" s="94" t="s">
        <v>44</v>
      </c>
      <c r="N9" s="94"/>
      <c r="O9" s="94" t="s">
        <v>163</v>
      </c>
      <c r="P9" s="94"/>
      <c r="Q9" s="97"/>
      <c r="R9" s="94"/>
      <c r="S9" s="97">
        <v>122150.26</v>
      </c>
      <c r="T9" s="94"/>
      <c r="U9" s="97">
        <v>0</v>
      </c>
    </row>
    <row r="10" spans="1:21">
      <c r="A10" s="96"/>
      <c r="B10" s="96"/>
      <c r="C10" s="96"/>
      <c r="D10" s="96"/>
      <c r="E10" s="96"/>
      <c r="F10" s="96"/>
      <c r="G10" s="94" t="s">
        <v>46</v>
      </c>
      <c r="H10" s="94"/>
      <c r="I10" s="95">
        <v>44735</v>
      </c>
      <c r="J10" s="94"/>
      <c r="K10" s="94" t="s">
        <v>128</v>
      </c>
      <c r="L10" s="94"/>
      <c r="M10" s="94" t="s">
        <v>44</v>
      </c>
      <c r="N10" s="94"/>
      <c r="O10" s="94" t="s">
        <v>67</v>
      </c>
      <c r="P10" s="94"/>
      <c r="Q10" s="97">
        <v>44620.28</v>
      </c>
      <c r="R10" s="94"/>
      <c r="S10" s="97"/>
      <c r="T10" s="94"/>
      <c r="U10" s="97">
        <v>44620.28</v>
      </c>
    </row>
    <row r="11" spans="1:21">
      <c r="A11" s="96"/>
      <c r="B11" s="96"/>
      <c r="C11" s="96"/>
      <c r="D11" s="96"/>
      <c r="E11" s="96"/>
      <c r="F11" s="96"/>
      <c r="G11" s="94" t="s">
        <v>42</v>
      </c>
      <c r="H11" s="94"/>
      <c r="I11" s="95">
        <v>44762</v>
      </c>
      <c r="J11" s="94"/>
      <c r="K11" s="94" t="s">
        <v>162</v>
      </c>
      <c r="L11" s="94"/>
      <c r="M11" s="94" t="s">
        <v>44</v>
      </c>
      <c r="N11" s="94"/>
      <c r="O11" s="94" t="s">
        <v>161</v>
      </c>
      <c r="P11" s="94"/>
      <c r="Q11" s="97"/>
      <c r="R11" s="94"/>
      <c r="S11" s="97">
        <v>44620.28</v>
      </c>
      <c r="T11" s="94"/>
      <c r="U11" s="97">
        <v>0</v>
      </c>
    </row>
    <row r="12" spans="1:21">
      <c r="A12" s="96"/>
      <c r="B12" s="96"/>
      <c r="C12" s="96"/>
      <c r="D12" s="96"/>
      <c r="E12" s="96"/>
      <c r="F12" s="96"/>
      <c r="G12" s="94" t="s">
        <v>46</v>
      </c>
      <c r="H12" s="94"/>
      <c r="I12" s="95">
        <v>44910</v>
      </c>
      <c r="J12" s="94"/>
      <c r="K12" s="94" t="s">
        <v>127</v>
      </c>
      <c r="L12" s="94"/>
      <c r="M12" s="94" t="s">
        <v>44</v>
      </c>
      <c r="N12" s="94"/>
      <c r="O12" s="94" t="s">
        <v>48</v>
      </c>
      <c r="P12" s="94"/>
      <c r="Q12" s="97">
        <v>230389.47</v>
      </c>
      <c r="R12" s="94"/>
      <c r="S12" s="97"/>
      <c r="T12" s="94"/>
      <c r="U12" s="97">
        <v>230389.47</v>
      </c>
    </row>
    <row r="13" spans="1:21">
      <c r="A13" s="96"/>
      <c r="B13" s="96"/>
      <c r="C13" s="96"/>
      <c r="D13" s="96"/>
      <c r="E13" s="96"/>
      <c r="F13" s="96"/>
      <c r="G13" s="94" t="s">
        <v>42</v>
      </c>
      <c r="H13" s="94"/>
      <c r="I13" s="95">
        <v>44937</v>
      </c>
      <c r="J13" s="94"/>
      <c r="K13" s="94" t="s">
        <v>160</v>
      </c>
      <c r="L13" s="94"/>
      <c r="M13" s="94" t="s">
        <v>44</v>
      </c>
      <c r="N13" s="94"/>
      <c r="O13" s="94" t="s">
        <v>159</v>
      </c>
      <c r="P13" s="94"/>
      <c r="Q13" s="97"/>
      <c r="R13" s="94"/>
      <c r="S13" s="97">
        <v>230389.47</v>
      </c>
      <c r="T13" s="94"/>
      <c r="U13" s="97">
        <v>0</v>
      </c>
    </row>
    <row r="14" spans="1:21">
      <c r="A14" s="96"/>
      <c r="B14" s="96"/>
      <c r="C14" s="96"/>
      <c r="D14" s="96"/>
      <c r="E14" s="96"/>
      <c r="F14" s="96"/>
      <c r="G14" s="94" t="s">
        <v>42</v>
      </c>
      <c r="H14" s="94"/>
      <c r="I14" s="95">
        <v>44966</v>
      </c>
      <c r="J14" s="94"/>
      <c r="K14" s="94" t="s">
        <v>158</v>
      </c>
      <c r="L14" s="94"/>
      <c r="M14" s="94" t="s">
        <v>44</v>
      </c>
      <c r="N14" s="94"/>
      <c r="O14" s="94" t="s">
        <v>157</v>
      </c>
      <c r="P14" s="94"/>
      <c r="Q14" s="97">
        <v>36000</v>
      </c>
      <c r="R14" s="94"/>
      <c r="S14" s="97"/>
      <c r="T14" s="94"/>
      <c r="U14" s="97">
        <v>36000</v>
      </c>
    </row>
    <row r="15" spans="1:21">
      <c r="A15" s="96"/>
      <c r="B15" s="96"/>
      <c r="C15" s="96"/>
      <c r="D15" s="96"/>
      <c r="E15" s="96"/>
      <c r="F15" s="96"/>
      <c r="G15" s="94" t="s">
        <v>80</v>
      </c>
      <c r="H15" s="94"/>
      <c r="I15" s="95">
        <v>45051</v>
      </c>
      <c r="J15" s="94"/>
      <c r="K15" s="94" t="s">
        <v>156</v>
      </c>
      <c r="L15" s="94"/>
      <c r="M15" s="94" t="s">
        <v>44</v>
      </c>
      <c r="N15" s="94"/>
      <c r="O15" s="94" t="s">
        <v>155</v>
      </c>
      <c r="P15" s="94"/>
      <c r="Q15" s="97"/>
      <c r="R15" s="94"/>
      <c r="S15" s="97">
        <v>50000</v>
      </c>
      <c r="T15" s="94"/>
      <c r="U15" s="97">
        <v>-14000</v>
      </c>
    </row>
    <row r="16" spans="1:21">
      <c r="A16" s="96"/>
      <c r="B16" s="96"/>
      <c r="C16" s="96"/>
      <c r="D16" s="96"/>
      <c r="E16" s="96"/>
      <c r="F16" s="96"/>
      <c r="G16" s="94" t="s">
        <v>80</v>
      </c>
      <c r="H16" s="94"/>
      <c r="I16" s="95">
        <v>45051</v>
      </c>
      <c r="J16" s="94"/>
      <c r="K16" s="94" t="s">
        <v>154</v>
      </c>
      <c r="L16" s="94"/>
      <c r="M16" s="94" t="s">
        <v>44</v>
      </c>
      <c r="N16" s="94"/>
      <c r="O16" s="94" t="s">
        <v>153</v>
      </c>
      <c r="P16" s="94"/>
      <c r="Q16" s="97"/>
      <c r="R16" s="94"/>
      <c r="S16" s="97">
        <v>250000</v>
      </c>
      <c r="T16" s="94"/>
      <c r="U16" s="97">
        <v>-264000</v>
      </c>
    </row>
    <row r="17" spans="1:21">
      <c r="A17" s="96"/>
      <c r="B17" s="96"/>
      <c r="C17" s="96"/>
      <c r="D17" s="96"/>
      <c r="E17" s="96"/>
      <c r="F17" s="96"/>
      <c r="G17" s="94" t="s">
        <v>80</v>
      </c>
      <c r="H17" s="94"/>
      <c r="I17" s="95">
        <v>45061</v>
      </c>
      <c r="J17" s="94"/>
      <c r="K17" s="94" t="s">
        <v>152</v>
      </c>
      <c r="L17" s="94"/>
      <c r="M17" s="94" t="s">
        <v>44</v>
      </c>
      <c r="N17" s="94"/>
      <c r="O17" s="94" t="s">
        <v>151</v>
      </c>
      <c r="P17" s="94"/>
      <c r="Q17" s="97"/>
      <c r="R17" s="94"/>
      <c r="S17" s="97">
        <v>70233.3</v>
      </c>
      <c r="T17" s="94"/>
      <c r="U17" s="97">
        <v>-334233.3</v>
      </c>
    </row>
    <row r="18" spans="1:21" ht="15.75" thickBot="1">
      <c r="A18" s="96"/>
      <c r="B18" s="96"/>
      <c r="C18" s="96"/>
      <c r="D18" s="96"/>
      <c r="E18" s="96"/>
      <c r="F18" s="96"/>
      <c r="G18" s="94" t="s">
        <v>46</v>
      </c>
      <c r="H18" s="94"/>
      <c r="I18" s="95">
        <v>45078</v>
      </c>
      <c r="J18" s="94"/>
      <c r="K18" s="94" t="s">
        <v>126</v>
      </c>
      <c r="L18" s="94"/>
      <c r="M18" s="94" t="s">
        <v>44</v>
      </c>
      <c r="N18" s="94"/>
      <c r="O18" s="94" t="s">
        <v>150</v>
      </c>
      <c r="P18" s="94"/>
      <c r="Q18" s="99">
        <v>368550</v>
      </c>
      <c r="R18" s="94"/>
      <c r="S18" s="99"/>
      <c r="T18" s="94"/>
      <c r="U18" s="99">
        <v>34316.699999999997</v>
      </c>
    </row>
    <row r="19" spans="1:21" s="100" customFormat="1">
      <c r="A19" s="92"/>
      <c r="B19" s="92" t="s">
        <v>149</v>
      </c>
      <c r="C19" s="92"/>
      <c r="D19" s="92"/>
      <c r="E19" s="92"/>
      <c r="F19" s="92"/>
      <c r="G19" s="90"/>
      <c r="H19" s="90"/>
      <c r="I19" s="91"/>
      <c r="J19" s="90"/>
      <c r="K19" s="90"/>
      <c r="L19" s="90"/>
      <c r="M19" s="90"/>
      <c r="N19" s="90"/>
      <c r="O19" s="90"/>
      <c r="P19" s="90"/>
      <c r="Q19" s="98">
        <v>1201710.01</v>
      </c>
      <c r="R19" s="90"/>
      <c r="S19" s="98">
        <v>1167393.31</v>
      </c>
      <c r="T19" s="90"/>
      <c r="U19" s="98">
        <v>34316.699999999997</v>
      </c>
    </row>
    <row r="20" spans="1:21">
      <c r="A20" s="92"/>
      <c r="B20" s="92" t="s">
        <v>148</v>
      </c>
      <c r="C20" s="92"/>
      <c r="D20" s="92"/>
      <c r="E20" s="92"/>
      <c r="F20" s="92"/>
      <c r="G20" s="90"/>
      <c r="H20" s="90"/>
      <c r="I20" s="91"/>
      <c r="J20" s="90"/>
      <c r="K20" s="90"/>
      <c r="L20" s="90"/>
      <c r="M20" s="90"/>
      <c r="N20" s="90"/>
      <c r="O20" s="90"/>
      <c r="P20" s="90"/>
      <c r="Q20" s="98"/>
      <c r="R20" s="90"/>
      <c r="S20" s="98"/>
      <c r="T20" s="90"/>
      <c r="U20" s="98"/>
    </row>
    <row r="21" spans="1:21">
      <c r="A21" s="96"/>
      <c r="B21" s="96"/>
      <c r="C21" s="96"/>
      <c r="D21" s="96"/>
      <c r="E21" s="96"/>
      <c r="F21" s="96"/>
      <c r="G21" s="94" t="s">
        <v>46</v>
      </c>
      <c r="H21" s="94"/>
      <c r="I21" s="95">
        <v>44653</v>
      </c>
      <c r="J21" s="94"/>
      <c r="K21" s="94" t="s">
        <v>134</v>
      </c>
      <c r="L21" s="94"/>
      <c r="M21" s="94" t="s">
        <v>44</v>
      </c>
      <c r="N21" s="94"/>
      <c r="O21" s="94" t="s">
        <v>143</v>
      </c>
      <c r="P21" s="94"/>
      <c r="Q21" s="97">
        <v>25343.75</v>
      </c>
      <c r="R21" s="94"/>
      <c r="S21" s="97"/>
      <c r="T21" s="94"/>
      <c r="U21" s="97">
        <v>25343.75</v>
      </c>
    </row>
    <row r="22" spans="1:21">
      <c r="A22" s="96"/>
      <c r="B22" s="96"/>
      <c r="C22" s="96"/>
      <c r="D22" s="96"/>
      <c r="E22" s="96"/>
      <c r="F22" s="96"/>
      <c r="G22" s="94" t="s">
        <v>46</v>
      </c>
      <c r="H22" s="94"/>
      <c r="I22" s="95">
        <v>44653</v>
      </c>
      <c r="J22" s="94"/>
      <c r="K22" s="94" t="s">
        <v>134</v>
      </c>
      <c r="L22" s="94"/>
      <c r="M22" s="94" t="s">
        <v>44</v>
      </c>
      <c r="N22" s="94"/>
      <c r="O22" s="94" t="s">
        <v>147</v>
      </c>
      <c r="P22" s="94"/>
      <c r="Q22" s="97">
        <v>25343.75</v>
      </c>
      <c r="R22" s="94"/>
      <c r="S22" s="97"/>
      <c r="T22" s="94"/>
      <c r="U22" s="97">
        <v>50687.5</v>
      </c>
    </row>
    <row r="23" spans="1:21">
      <c r="A23" s="96"/>
      <c r="B23" s="96"/>
      <c r="C23" s="96"/>
      <c r="D23" s="96"/>
      <c r="E23" s="96"/>
      <c r="F23" s="96"/>
      <c r="G23" s="94" t="s">
        <v>46</v>
      </c>
      <c r="H23" s="94"/>
      <c r="I23" s="95">
        <v>44658</v>
      </c>
      <c r="J23" s="94"/>
      <c r="K23" s="94" t="s">
        <v>132</v>
      </c>
      <c r="L23" s="94"/>
      <c r="M23" s="94" t="s">
        <v>44</v>
      </c>
      <c r="N23" s="94"/>
      <c r="O23" s="94" t="s">
        <v>143</v>
      </c>
      <c r="P23" s="94"/>
      <c r="Q23" s="97">
        <v>11234.21</v>
      </c>
      <c r="R23" s="94"/>
      <c r="S23" s="97"/>
      <c r="T23" s="94"/>
      <c r="U23" s="97">
        <v>61921.71</v>
      </c>
    </row>
    <row r="24" spans="1:21">
      <c r="A24" s="96"/>
      <c r="B24" s="96"/>
      <c r="C24" s="96"/>
      <c r="D24" s="96"/>
      <c r="E24" s="96"/>
      <c r="F24" s="96"/>
      <c r="G24" s="94" t="s">
        <v>46</v>
      </c>
      <c r="H24" s="94"/>
      <c r="I24" s="95">
        <v>44658</v>
      </c>
      <c r="J24" s="94"/>
      <c r="K24" s="94" t="s">
        <v>132</v>
      </c>
      <c r="L24" s="94"/>
      <c r="M24" s="94" t="s">
        <v>44</v>
      </c>
      <c r="N24" s="94"/>
      <c r="O24" s="94" t="s">
        <v>146</v>
      </c>
      <c r="P24" s="94"/>
      <c r="Q24" s="97">
        <v>11234.21</v>
      </c>
      <c r="R24" s="94"/>
      <c r="S24" s="97"/>
      <c r="T24" s="94"/>
      <c r="U24" s="97">
        <v>73155.92</v>
      </c>
    </row>
    <row r="25" spans="1:21">
      <c r="A25" s="96"/>
      <c r="B25" s="96"/>
      <c r="C25" s="96"/>
      <c r="D25" s="96"/>
      <c r="E25" s="96"/>
      <c r="F25" s="96"/>
      <c r="G25" s="94" t="s">
        <v>46</v>
      </c>
      <c r="H25" s="94"/>
      <c r="I25" s="95">
        <v>44694</v>
      </c>
      <c r="J25" s="94"/>
      <c r="K25" s="94" t="s">
        <v>130</v>
      </c>
      <c r="L25" s="94"/>
      <c r="M25" s="94" t="s">
        <v>44</v>
      </c>
      <c r="N25" s="94"/>
      <c r="O25" s="94" t="s">
        <v>143</v>
      </c>
      <c r="P25" s="94"/>
      <c r="Q25" s="97">
        <v>25582.78</v>
      </c>
      <c r="R25" s="94"/>
      <c r="S25" s="97"/>
      <c r="T25" s="94"/>
      <c r="U25" s="97">
        <v>98738.7</v>
      </c>
    </row>
    <row r="26" spans="1:21">
      <c r="A26" s="96"/>
      <c r="B26" s="96"/>
      <c r="C26" s="96"/>
      <c r="D26" s="96"/>
      <c r="E26" s="96"/>
      <c r="F26" s="96"/>
      <c r="G26" s="94" t="s">
        <v>46</v>
      </c>
      <c r="H26" s="94"/>
      <c r="I26" s="95">
        <v>44694</v>
      </c>
      <c r="J26" s="94"/>
      <c r="K26" s="94" t="s">
        <v>130</v>
      </c>
      <c r="L26" s="94"/>
      <c r="M26" s="94" t="s">
        <v>44</v>
      </c>
      <c r="N26" s="94"/>
      <c r="O26" s="94" t="s">
        <v>145</v>
      </c>
      <c r="P26" s="94"/>
      <c r="Q26" s="97">
        <v>25582.78</v>
      </c>
      <c r="R26" s="94"/>
      <c r="S26" s="97"/>
      <c r="T26" s="94"/>
      <c r="U26" s="97">
        <v>124321.48</v>
      </c>
    </row>
    <row r="27" spans="1:21">
      <c r="A27" s="96"/>
      <c r="B27" s="96"/>
      <c r="C27" s="96"/>
      <c r="D27" s="96"/>
      <c r="E27" s="96"/>
      <c r="F27" s="96"/>
      <c r="G27" s="94" t="s">
        <v>46</v>
      </c>
      <c r="H27" s="94"/>
      <c r="I27" s="95">
        <v>44735</v>
      </c>
      <c r="J27" s="94"/>
      <c r="K27" s="94" t="s">
        <v>128</v>
      </c>
      <c r="L27" s="94"/>
      <c r="M27" s="94" t="s">
        <v>44</v>
      </c>
      <c r="N27" s="94"/>
      <c r="O27" s="94" t="s">
        <v>143</v>
      </c>
      <c r="P27" s="94"/>
      <c r="Q27" s="97">
        <v>5311.94</v>
      </c>
      <c r="R27" s="94"/>
      <c r="S27" s="97"/>
      <c r="T27" s="94"/>
      <c r="U27" s="97">
        <v>129633.42</v>
      </c>
    </row>
    <row r="28" spans="1:21">
      <c r="A28" s="96"/>
      <c r="B28" s="96"/>
      <c r="C28" s="96"/>
      <c r="D28" s="96"/>
      <c r="E28" s="96"/>
      <c r="F28" s="96"/>
      <c r="G28" s="94" t="s">
        <v>46</v>
      </c>
      <c r="H28" s="94"/>
      <c r="I28" s="95">
        <v>44735</v>
      </c>
      <c r="J28" s="94"/>
      <c r="K28" s="94" t="s">
        <v>128</v>
      </c>
      <c r="L28" s="94"/>
      <c r="M28" s="94" t="s">
        <v>44</v>
      </c>
      <c r="N28" s="94"/>
      <c r="O28" s="94" t="s">
        <v>144</v>
      </c>
      <c r="P28" s="94"/>
      <c r="Q28" s="97">
        <v>5311.94</v>
      </c>
      <c r="R28" s="94"/>
      <c r="S28" s="97"/>
      <c r="T28" s="94"/>
      <c r="U28" s="97">
        <v>134945.35999999999</v>
      </c>
    </row>
    <row r="29" spans="1:21">
      <c r="A29" s="96"/>
      <c r="B29" s="96"/>
      <c r="C29" s="96"/>
      <c r="D29" s="96"/>
      <c r="E29" s="96"/>
      <c r="F29" s="96"/>
      <c r="G29" s="94" t="s">
        <v>46</v>
      </c>
      <c r="H29" s="94"/>
      <c r="I29" s="95">
        <v>44910</v>
      </c>
      <c r="J29" s="94"/>
      <c r="K29" s="94" t="s">
        <v>127</v>
      </c>
      <c r="L29" s="94"/>
      <c r="M29" s="94" t="s">
        <v>44</v>
      </c>
      <c r="N29" s="94"/>
      <c r="O29" s="94" t="s">
        <v>143</v>
      </c>
      <c r="P29" s="94"/>
      <c r="Q29" s="97">
        <v>27427.32</v>
      </c>
      <c r="R29" s="94"/>
      <c r="S29" s="97"/>
      <c r="T29" s="94"/>
      <c r="U29" s="97">
        <v>162372.68</v>
      </c>
    </row>
    <row r="30" spans="1:21" ht="15.75" thickBot="1">
      <c r="A30" s="96"/>
      <c r="B30" s="96"/>
      <c r="C30" s="96"/>
      <c r="D30" s="96"/>
      <c r="E30" s="96"/>
      <c r="F30" s="96"/>
      <c r="G30" s="94" t="s">
        <v>46</v>
      </c>
      <c r="H30" s="94"/>
      <c r="I30" s="95">
        <v>44910</v>
      </c>
      <c r="J30" s="94"/>
      <c r="K30" s="94" t="s">
        <v>127</v>
      </c>
      <c r="L30" s="94"/>
      <c r="M30" s="94" t="s">
        <v>44</v>
      </c>
      <c r="N30" s="94"/>
      <c r="O30" s="94" t="s">
        <v>142</v>
      </c>
      <c r="P30" s="94"/>
      <c r="Q30" s="99">
        <v>27427.32</v>
      </c>
      <c r="R30" s="94"/>
      <c r="S30" s="99"/>
      <c r="T30" s="94"/>
      <c r="U30" s="99">
        <v>189800</v>
      </c>
    </row>
    <row r="31" spans="1:21">
      <c r="A31" s="96"/>
      <c r="B31" s="96" t="s">
        <v>141</v>
      </c>
      <c r="C31" s="96"/>
      <c r="D31" s="96"/>
      <c r="E31" s="96"/>
      <c r="F31" s="96"/>
      <c r="G31" s="94"/>
      <c r="H31" s="94"/>
      <c r="I31" s="95"/>
      <c r="J31" s="94"/>
      <c r="K31" s="94"/>
      <c r="L31" s="94"/>
      <c r="M31" s="94"/>
      <c r="N31" s="94"/>
      <c r="O31" s="94"/>
      <c r="P31" s="94"/>
      <c r="Q31" s="97">
        <f>ROUND(SUM(Q20:Q30),5)</f>
        <v>189800</v>
      </c>
      <c r="R31" s="94"/>
      <c r="S31" s="97">
        <f>ROUND(SUM(S20:S30),5)</f>
        <v>0</v>
      </c>
      <c r="T31" s="94"/>
      <c r="U31" s="97">
        <f>U30</f>
        <v>189800</v>
      </c>
    </row>
    <row r="32" spans="1:21">
      <c r="A32" s="92"/>
      <c r="B32" s="92" t="s">
        <v>140</v>
      </c>
      <c r="C32" s="92"/>
      <c r="D32" s="92"/>
      <c r="E32" s="92"/>
      <c r="F32" s="92"/>
      <c r="G32" s="90"/>
      <c r="H32" s="90"/>
      <c r="I32" s="91"/>
      <c r="J32" s="90"/>
      <c r="K32" s="90"/>
      <c r="L32" s="90"/>
      <c r="M32" s="90"/>
      <c r="N32" s="90"/>
      <c r="O32" s="90"/>
      <c r="P32" s="90"/>
      <c r="Q32" s="98"/>
      <c r="R32" s="90"/>
      <c r="S32" s="98"/>
      <c r="T32" s="90"/>
      <c r="U32" s="98"/>
    </row>
    <row r="33" spans="1:21">
      <c r="A33" s="96"/>
      <c r="B33" s="96"/>
      <c r="C33" s="96"/>
      <c r="D33" s="96"/>
      <c r="E33" s="96"/>
      <c r="F33" s="96"/>
      <c r="G33" s="94" t="s">
        <v>46</v>
      </c>
      <c r="H33" s="94"/>
      <c r="I33" s="95">
        <v>44653</v>
      </c>
      <c r="J33" s="94"/>
      <c r="K33" s="94" t="s">
        <v>134</v>
      </c>
      <c r="L33" s="94"/>
      <c r="M33" s="94" t="s">
        <v>44</v>
      </c>
      <c r="N33" s="94"/>
      <c r="O33" s="94" t="s">
        <v>139</v>
      </c>
      <c r="P33" s="94"/>
      <c r="Q33" s="97"/>
      <c r="R33" s="94"/>
      <c r="S33" s="97">
        <v>10137.5</v>
      </c>
      <c r="T33" s="94"/>
      <c r="U33" s="97">
        <v>-10137.5</v>
      </c>
    </row>
    <row r="34" spans="1:21">
      <c r="A34" s="96"/>
      <c r="B34" s="96"/>
      <c r="C34" s="96"/>
      <c r="D34" s="96"/>
      <c r="E34" s="96"/>
      <c r="F34" s="96"/>
      <c r="G34" s="94" t="s">
        <v>46</v>
      </c>
      <c r="H34" s="94"/>
      <c r="I34" s="95">
        <v>44658</v>
      </c>
      <c r="J34" s="94"/>
      <c r="K34" s="94" t="s">
        <v>132</v>
      </c>
      <c r="L34" s="94"/>
      <c r="M34" s="94" t="s">
        <v>44</v>
      </c>
      <c r="N34" s="94"/>
      <c r="O34" s="94" t="s">
        <v>139</v>
      </c>
      <c r="P34" s="94"/>
      <c r="Q34" s="97"/>
      <c r="R34" s="94"/>
      <c r="S34" s="97">
        <v>4493.6899999999996</v>
      </c>
      <c r="T34" s="94"/>
      <c r="U34" s="97">
        <v>-14631.19</v>
      </c>
    </row>
    <row r="35" spans="1:21">
      <c r="A35" s="96"/>
      <c r="B35" s="96"/>
      <c r="C35" s="96"/>
      <c r="D35" s="96"/>
      <c r="E35" s="96"/>
      <c r="F35" s="96"/>
      <c r="G35" s="94" t="s">
        <v>46</v>
      </c>
      <c r="H35" s="94"/>
      <c r="I35" s="95">
        <v>44694</v>
      </c>
      <c r="J35" s="94"/>
      <c r="K35" s="94" t="s">
        <v>130</v>
      </c>
      <c r="L35" s="94"/>
      <c r="M35" s="94" t="s">
        <v>44</v>
      </c>
      <c r="N35" s="94"/>
      <c r="O35" s="94" t="s">
        <v>139</v>
      </c>
      <c r="P35" s="94"/>
      <c r="Q35" s="97"/>
      <c r="R35" s="94"/>
      <c r="S35" s="97">
        <v>10233.11</v>
      </c>
      <c r="T35" s="94"/>
      <c r="U35" s="97">
        <v>-24864.3</v>
      </c>
    </row>
    <row r="36" spans="1:21">
      <c r="A36" s="96"/>
      <c r="B36" s="96"/>
      <c r="C36" s="96"/>
      <c r="D36" s="96"/>
      <c r="E36" s="96"/>
      <c r="F36" s="96"/>
      <c r="G36" s="94" t="s">
        <v>46</v>
      </c>
      <c r="H36" s="94"/>
      <c r="I36" s="95">
        <v>44735</v>
      </c>
      <c r="J36" s="94"/>
      <c r="K36" s="94" t="s">
        <v>128</v>
      </c>
      <c r="L36" s="94"/>
      <c r="M36" s="94" t="s">
        <v>44</v>
      </c>
      <c r="N36" s="94"/>
      <c r="O36" s="94" t="s">
        <v>139</v>
      </c>
      <c r="P36" s="94"/>
      <c r="Q36" s="97"/>
      <c r="R36" s="94"/>
      <c r="S36" s="97">
        <v>2124.7800000000002</v>
      </c>
      <c r="T36" s="94"/>
      <c r="U36" s="97">
        <v>-26989.08</v>
      </c>
    </row>
    <row r="37" spans="1:21">
      <c r="A37" s="96"/>
      <c r="B37" s="96"/>
      <c r="C37" s="96"/>
      <c r="D37" s="96"/>
      <c r="E37" s="96"/>
      <c r="F37" s="96"/>
      <c r="G37" s="94" t="s">
        <v>46</v>
      </c>
      <c r="H37" s="94"/>
      <c r="I37" s="95">
        <v>44910</v>
      </c>
      <c r="J37" s="94"/>
      <c r="K37" s="94" t="s">
        <v>127</v>
      </c>
      <c r="L37" s="94"/>
      <c r="M37" s="94" t="s">
        <v>44</v>
      </c>
      <c r="N37" s="94"/>
      <c r="O37" s="94" t="s">
        <v>139</v>
      </c>
      <c r="P37" s="94"/>
      <c r="Q37" s="97"/>
      <c r="R37" s="94"/>
      <c r="S37" s="97">
        <v>10970.93</v>
      </c>
      <c r="T37" s="94"/>
      <c r="U37" s="97">
        <v>-37960.01</v>
      </c>
    </row>
    <row r="38" spans="1:21" ht="15.75" thickBot="1">
      <c r="A38" s="96"/>
      <c r="B38" s="96"/>
      <c r="C38" s="96"/>
      <c r="D38" s="96"/>
      <c r="E38" s="96"/>
      <c r="F38" s="96"/>
      <c r="G38" s="94" t="s">
        <v>46</v>
      </c>
      <c r="H38" s="94"/>
      <c r="I38" s="95">
        <v>45078</v>
      </c>
      <c r="J38" s="94"/>
      <c r="K38" s="94" t="s">
        <v>126</v>
      </c>
      <c r="L38" s="94"/>
      <c r="M38" s="94" t="s">
        <v>44</v>
      </c>
      <c r="N38" s="94"/>
      <c r="O38" s="94" t="s">
        <v>139</v>
      </c>
      <c r="P38" s="94"/>
      <c r="Q38" s="99"/>
      <c r="R38" s="94"/>
      <c r="S38" s="99">
        <v>17550</v>
      </c>
      <c r="T38" s="94"/>
      <c r="U38" s="99">
        <v>-55510.01</v>
      </c>
    </row>
    <row r="39" spans="1:21">
      <c r="A39" s="96"/>
      <c r="B39" s="96" t="s">
        <v>138</v>
      </c>
      <c r="C39" s="96"/>
      <c r="D39" s="96"/>
      <c r="E39" s="96"/>
      <c r="F39" s="96"/>
      <c r="G39" s="94"/>
      <c r="H39" s="94"/>
      <c r="I39" s="95"/>
      <c r="J39" s="94"/>
      <c r="K39" s="94"/>
      <c r="L39" s="94"/>
      <c r="M39" s="94"/>
      <c r="N39" s="94"/>
      <c r="O39" s="94"/>
      <c r="P39" s="94"/>
      <c r="Q39" s="97">
        <f>ROUND(SUM(Q32:Q38),5)</f>
        <v>0</v>
      </c>
      <c r="R39" s="94"/>
      <c r="S39" s="97">
        <f>ROUND(SUM(S32:S38),5)</f>
        <v>55510.01</v>
      </c>
      <c r="T39" s="94"/>
      <c r="U39" s="97">
        <f>U38</f>
        <v>-55510.01</v>
      </c>
    </row>
    <row r="40" spans="1:21">
      <c r="A40" s="92"/>
      <c r="B40" s="92" t="s">
        <v>137</v>
      </c>
      <c r="C40" s="92"/>
      <c r="D40" s="92"/>
      <c r="E40" s="92"/>
      <c r="F40" s="92"/>
      <c r="G40" s="90"/>
      <c r="H40" s="90"/>
      <c r="I40" s="91"/>
      <c r="J40" s="90"/>
      <c r="K40" s="90"/>
      <c r="L40" s="90"/>
      <c r="M40" s="90"/>
      <c r="N40" s="90"/>
      <c r="O40" s="90"/>
      <c r="P40" s="90"/>
      <c r="Q40" s="98"/>
      <c r="R40" s="90"/>
      <c r="S40" s="98"/>
      <c r="T40" s="90"/>
      <c r="U40" s="98"/>
    </row>
    <row r="41" spans="1:21">
      <c r="A41" s="92"/>
      <c r="B41" s="92"/>
      <c r="C41" s="92" t="s">
        <v>136</v>
      </c>
      <c r="D41" s="92"/>
      <c r="E41" s="92"/>
      <c r="F41" s="92"/>
      <c r="G41" s="90"/>
      <c r="H41" s="90"/>
      <c r="I41" s="91"/>
      <c r="J41" s="90"/>
      <c r="K41" s="90"/>
      <c r="L41" s="90"/>
      <c r="M41" s="90"/>
      <c r="N41" s="90"/>
      <c r="O41" s="90"/>
      <c r="P41" s="90"/>
      <c r="Q41" s="98"/>
      <c r="R41" s="90"/>
      <c r="S41" s="98"/>
      <c r="T41" s="90"/>
      <c r="U41" s="98"/>
    </row>
    <row r="42" spans="1:21">
      <c r="A42" s="92"/>
      <c r="B42" s="92"/>
      <c r="C42" s="92"/>
      <c r="D42" s="92" t="s">
        <v>135</v>
      </c>
      <c r="E42" s="92"/>
      <c r="F42" s="92"/>
      <c r="G42" s="90"/>
      <c r="H42" s="90"/>
      <c r="I42" s="91"/>
      <c r="J42" s="90"/>
      <c r="K42" s="90"/>
      <c r="L42" s="90"/>
      <c r="M42" s="90"/>
      <c r="N42" s="90"/>
      <c r="O42" s="90"/>
      <c r="P42" s="90"/>
      <c r="Q42" s="98"/>
      <c r="R42" s="90"/>
      <c r="S42" s="98"/>
      <c r="T42" s="90"/>
      <c r="U42" s="98"/>
    </row>
    <row r="43" spans="1:21">
      <c r="A43" s="96"/>
      <c r="B43" s="96"/>
      <c r="C43" s="96"/>
      <c r="D43" s="96"/>
      <c r="E43" s="96"/>
      <c r="F43" s="96"/>
      <c r="G43" s="94" t="s">
        <v>46</v>
      </c>
      <c r="H43" s="94"/>
      <c r="I43" s="95">
        <v>44653</v>
      </c>
      <c r="J43" s="94"/>
      <c r="K43" s="94" t="s">
        <v>134</v>
      </c>
      <c r="L43" s="94"/>
      <c r="M43" s="94" t="s">
        <v>44</v>
      </c>
      <c r="N43" s="94"/>
      <c r="O43" s="94" t="s">
        <v>133</v>
      </c>
      <c r="P43" s="94"/>
      <c r="Q43" s="97"/>
      <c r="R43" s="94"/>
      <c r="S43" s="97">
        <v>253437.52</v>
      </c>
      <c r="T43" s="94"/>
      <c r="U43" s="97">
        <v>-253437.52</v>
      </c>
    </row>
    <row r="44" spans="1:21">
      <c r="A44" s="96"/>
      <c r="B44" s="96"/>
      <c r="C44" s="96"/>
      <c r="D44" s="96"/>
      <c r="E44" s="96"/>
      <c r="F44" s="96"/>
      <c r="G44" s="94" t="s">
        <v>46</v>
      </c>
      <c r="H44" s="94"/>
      <c r="I44" s="95">
        <v>44658</v>
      </c>
      <c r="J44" s="94"/>
      <c r="K44" s="94" t="s">
        <v>132</v>
      </c>
      <c r="L44" s="94"/>
      <c r="M44" s="94" t="s">
        <v>44</v>
      </c>
      <c r="N44" s="94"/>
      <c r="O44" s="94" t="s">
        <v>131</v>
      </c>
      <c r="P44" s="94"/>
      <c r="Q44" s="97"/>
      <c r="R44" s="94"/>
      <c r="S44" s="97">
        <v>112342.12</v>
      </c>
      <c r="T44" s="94"/>
      <c r="U44" s="97">
        <v>-365779.64</v>
      </c>
    </row>
    <row r="45" spans="1:21">
      <c r="A45" s="96"/>
      <c r="B45" s="96"/>
      <c r="C45" s="96"/>
      <c r="D45" s="96"/>
      <c r="E45" s="96"/>
      <c r="F45" s="96"/>
      <c r="G45" s="94" t="s">
        <v>46</v>
      </c>
      <c r="H45" s="94"/>
      <c r="I45" s="95">
        <v>44694</v>
      </c>
      <c r="J45" s="94"/>
      <c r="K45" s="94" t="s">
        <v>130</v>
      </c>
      <c r="L45" s="94"/>
      <c r="M45" s="94" t="s">
        <v>44</v>
      </c>
      <c r="N45" s="94"/>
      <c r="O45" s="94" t="s">
        <v>129</v>
      </c>
      <c r="P45" s="94"/>
      <c r="Q45" s="97"/>
      <c r="R45" s="94"/>
      <c r="S45" s="97">
        <v>255827.8</v>
      </c>
      <c r="T45" s="94"/>
      <c r="U45" s="97">
        <v>-621607.43999999994</v>
      </c>
    </row>
    <row r="46" spans="1:21">
      <c r="A46" s="96"/>
      <c r="B46" s="96"/>
      <c r="C46" s="96"/>
      <c r="D46" s="96"/>
      <c r="E46" s="96"/>
      <c r="F46" s="96"/>
      <c r="G46" s="94" t="s">
        <v>46</v>
      </c>
      <c r="H46" s="94"/>
      <c r="I46" s="95">
        <v>44735</v>
      </c>
      <c r="J46" s="94"/>
      <c r="K46" s="94" t="s">
        <v>128</v>
      </c>
      <c r="L46" s="94"/>
      <c r="M46" s="94" t="s">
        <v>44</v>
      </c>
      <c r="N46" s="94"/>
      <c r="O46" s="94" t="s">
        <v>125</v>
      </c>
      <c r="P46" s="94"/>
      <c r="Q46" s="97"/>
      <c r="R46" s="94"/>
      <c r="S46" s="97">
        <v>53119.38</v>
      </c>
      <c r="T46" s="94"/>
      <c r="U46" s="97">
        <v>-674726.82</v>
      </c>
    </row>
    <row r="47" spans="1:21">
      <c r="A47" s="96"/>
      <c r="B47" s="96"/>
      <c r="C47" s="96"/>
      <c r="D47" s="96"/>
      <c r="E47" s="96"/>
      <c r="F47" s="96"/>
      <c r="G47" s="94" t="s">
        <v>46</v>
      </c>
      <c r="H47" s="94"/>
      <c r="I47" s="95">
        <v>44910</v>
      </c>
      <c r="J47" s="94"/>
      <c r="K47" s="94" t="s">
        <v>127</v>
      </c>
      <c r="L47" s="94"/>
      <c r="M47" s="94" t="s">
        <v>44</v>
      </c>
      <c r="N47" s="94"/>
      <c r="O47" s="94" t="s">
        <v>125</v>
      </c>
      <c r="P47" s="94"/>
      <c r="Q47" s="97"/>
      <c r="R47" s="94"/>
      <c r="S47" s="97">
        <v>274273.18</v>
      </c>
      <c r="T47" s="94"/>
      <c r="U47" s="97">
        <v>-949000</v>
      </c>
    </row>
    <row r="48" spans="1:21" ht="15.75" thickBot="1">
      <c r="A48" s="96"/>
      <c r="B48" s="96"/>
      <c r="C48" s="96"/>
      <c r="D48" s="96"/>
      <c r="E48" s="96"/>
      <c r="F48" s="96"/>
      <c r="G48" s="94" t="s">
        <v>46</v>
      </c>
      <c r="H48" s="94"/>
      <c r="I48" s="95">
        <v>45078</v>
      </c>
      <c r="J48" s="94"/>
      <c r="K48" s="94" t="s">
        <v>126</v>
      </c>
      <c r="L48" s="94"/>
      <c r="M48" s="94" t="s">
        <v>44</v>
      </c>
      <c r="N48" s="94"/>
      <c r="O48" s="94" t="s">
        <v>125</v>
      </c>
      <c r="P48" s="94"/>
      <c r="Q48" s="97"/>
      <c r="R48" s="94"/>
      <c r="S48" s="97">
        <v>351000</v>
      </c>
      <c r="T48" s="94"/>
      <c r="U48" s="97">
        <v>-1300000</v>
      </c>
    </row>
    <row r="49" spans="1:21" ht="15.75" thickBot="1">
      <c r="A49" s="96"/>
      <c r="B49" s="96"/>
      <c r="C49" s="96"/>
      <c r="D49" s="96" t="s">
        <v>124</v>
      </c>
      <c r="E49" s="96"/>
      <c r="F49" s="96"/>
      <c r="G49" s="94"/>
      <c r="H49" s="94"/>
      <c r="I49" s="95"/>
      <c r="J49" s="94"/>
      <c r="K49" s="94"/>
      <c r="L49" s="94"/>
      <c r="M49" s="94"/>
      <c r="N49" s="94"/>
      <c r="O49" s="94"/>
      <c r="P49" s="94"/>
      <c r="Q49" s="93">
        <f>ROUND(SUM(Q42:Q48),5)</f>
        <v>0</v>
      </c>
      <c r="R49" s="94"/>
      <c r="S49" s="93">
        <f>ROUND(SUM(S42:S48),5)</f>
        <v>1300000</v>
      </c>
      <c r="T49" s="94"/>
      <c r="U49" s="93">
        <f>U48</f>
        <v>-1300000</v>
      </c>
    </row>
    <row r="50" spans="1:21" ht="15.75" thickBot="1">
      <c r="A50" s="96"/>
      <c r="B50" s="96"/>
      <c r="C50" s="96" t="s">
        <v>123</v>
      </c>
      <c r="D50" s="96"/>
      <c r="E50" s="96"/>
      <c r="F50" s="96"/>
      <c r="G50" s="94"/>
      <c r="H50" s="94"/>
      <c r="I50" s="95"/>
      <c r="J50" s="94"/>
      <c r="K50" s="94"/>
      <c r="L50" s="94"/>
      <c r="M50" s="94"/>
      <c r="N50" s="94"/>
      <c r="O50" s="94"/>
      <c r="P50" s="94"/>
      <c r="Q50" s="93">
        <f>Q49</f>
        <v>0</v>
      </c>
      <c r="R50" s="94"/>
      <c r="S50" s="93">
        <f>S49</f>
        <v>1300000</v>
      </c>
      <c r="T50" s="94"/>
      <c r="U50" s="93">
        <f>U49</f>
        <v>-1300000</v>
      </c>
    </row>
    <row r="51" spans="1:21" ht="15.75" thickBot="1">
      <c r="A51" s="96"/>
      <c r="B51" s="96" t="s">
        <v>122</v>
      </c>
      <c r="C51" s="96"/>
      <c r="D51" s="96"/>
      <c r="E51" s="96"/>
      <c r="F51" s="96"/>
      <c r="G51" s="94"/>
      <c r="H51" s="94"/>
      <c r="I51" s="95"/>
      <c r="J51" s="94"/>
      <c r="K51" s="94"/>
      <c r="L51" s="94"/>
      <c r="M51" s="94"/>
      <c r="N51" s="94"/>
      <c r="O51" s="94"/>
      <c r="P51" s="94"/>
      <c r="Q51" s="93">
        <f>Q50</f>
        <v>0</v>
      </c>
      <c r="R51" s="94"/>
      <c r="S51" s="93">
        <f>S50</f>
        <v>1300000</v>
      </c>
      <c r="T51" s="94"/>
      <c r="U51" s="93">
        <f>U50</f>
        <v>-1300000</v>
      </c>
    </row>
    <row r="52" spans="1:21" s="88" customFormat="1" ht="13.5" thickBot="1">
      <c r="A52" s="92" t="s">
        <v>121</v>
      </c>
      <c r="B52" s="92"/>
      <c r="C52" s="92"/>
      <c r="D52" s="92"/>
      <c r="E52" s="92"/>
      <c r="F52" s="92"/>
      <c r="G52" s="90"/>
      <c r="H52" s="90"/>
      <c r="I52" s="91"/>
      <c r="J52" s="90"/>
      <c r="K52" s="90"/>
      <c r="L52" s="90"/>
      <c r="M52" s="90"/>
      <c r="N52" s="90"/>
      <c r="O52" s="90"/>
      <c r="P52" s="90"/>
      <c r="Q52" s="89">
        <f>ROUND(Q19+Q31+Q39+Q51,5)</f>
        <v>1391510.01</v>
      </c>
      <c r="R52" s="90"/>
      <c r="S52" s="89">
        <f>ROUND(S19+S31+S39+S51,5)</f>
        <v>2522903.3199999998</v>
      </c>
      <c r="T52" s="90"/>
      <c r="U52" s="89">
        <f>ROUND(U19+U31+U39+U51,5)</f>
        <v>-1131393.31</v>
      </c>
    </row>
    <row r="53" spans="1:21" ht="15.75" thickTop="1"/>
  </sheetData>
  <autoFilter ref="G2:U18"/>
  <pageMargins left="0.7" right="0.7" top="0.75" bottom="0.75" header="0.1" footer="0.3"/>
  <pageSetup orientation="portrait" r:id="rId1"/>
  <headerFooter>
    <oddHeader>&amp;L&amp;"Arial,Bold"&amp;10 9:27 AM
&amp;"Arial,Bold"&amp;10 08-01-23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4098" r:id="rId4" name="HEAD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4</xdr:col>
                <xdr:colOff>123825</xdr:colOff>
                <xdr:row>2</xdr:row>
                <xdr:rowOff>28575</xdr:rowOff>
              </to>
            </anchor>
          </controlPr>
        </control>
      </mc:Choice>
      <mc:Fallback>
        <control shapeId="4098" r:id="rId4" name="HEADER"/>
      </mc:Fallback>
    </mc:AlternateContent>
    <mc:AlternateContent xmlns:mc="http://schemas.openxmlformats.org/markup-compatibility/2006">
      <mc:Choice Requires="x14">
        <control shapeId="4097" r:id="rId6" name="FILT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4</xdr:col>
                <xdr:colOff>123825</xdr:colOff>
                <xdr:row>2</xdr:row>
                <xdr:rowOff>28575</xdr:rowOff>
              </to>
            </anchor>
          </controlPr>
        </control>
      </mc:Choice>
      <mc:Fallback>
        <control shapeId="4097" r:id="rId6" name="FILTER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6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S4" sqref="S4:S12"/>
    </sheetView>
  </sheetViews>
  <sheetFormatPr defaultRowHeight="15"/>
  <cols>
    <col min="1" max="1" width="3" style="87" customWidth="1"/>
    <col min="2" max="3" width="1" style="87" customWidth="1"/>
    <col min="4" max="4" width="1.42578125" style="87" customWidth="1"/>
    <col min="5" max="6" width="2.28515625" style="87" customWidth="1"/>
    <col min="7" max="7" width="14" bestFit="1" customWidth="1"/>
    <col min="8" max="8" width="2.28515625" customWidth="1"/>
    <col min="9" max="9" width="10.140625" bestFit="1" customWidth="1"/>
    <col min="10" max="10" width="2.28515625" customWidth="1"/>
    <col min="11" max="11" width="6" bestFit="1" customWidth="1"/>
    <col min="12" max="12" width="2.28515625" customWidth="1"/>
    <col min="13" max="13" width="40.7109375" bestFit="1" customWidth="1"/>
    <col min="14" max="14" width="2.28515625" customWidth="1"/>
    <col min="15" max="15" width="48.28515625" bestFit="1" customWidth="1"/>
    <col min="16" max="16" width="2.28515625" customWidth="1"/>
    <col min="17" max="17" width="11.7109375" bestFit="1" customWidth="1"/>
    <col min="18" max="18" width="2.28515625" customWidth="1"/>
    <col min="19" max="19" width="11.7109375" bestFit="1" customWidth="1"/>
    <col min="20" max="20" width="2.28515625" customWidth="1"/>
    <col min="21" max="21" width="12.28515625" bestFit="1" customWidth="1"/>
  </cols>
  <sheetData>
    <row r="1" spans="1:21" s="101" customFormat="1" ht="15.75" thickBot="1">
      <c r="A1" s="104"/>
      <c r="B1" s="104"/>
      <c r="C1" s="104"/>
      <c r="D1" s="104"/>
      <c r="E1" s="104"/>
      <c r="F1" s="104"/>
      <c r="G1" s="102" t="s">
        <v>97</v>
      </c>
      <c r="H1" s="103"/>
      <c r="I1" s="102" t="s">
        <v>96</v>
      </c>
      <c r="J1" s="103"/>
      <c r="K1" s="102" t="s">
        <v>95</v>
      </c>
      <c r="L1" s="103"/>
      <c r="M1" s="102" t="s">
        <v>93</v>
      </c>
      <c r="N1" s="103"/>
      <c r="O1" s="102" t="s">
        <v>92</v>
      </c>
      <c r="P1" s="103"/>
      <c r="Q1" s="102" t="s">
        <v>91</v>
      </c>
      <c r="R1" s="103"/>
      <c r="S1" s="102" t="s">
        <v>90</v>
      </c>
      <c r="T1" s="103"/>
      <c r="U1" s="102" t="s">
        <v>31</v>
      </c>
    </row>
    <row r="2" spans="1:21" ht="15.75" thickTop="1">
      <c r="A2" s="92"/>
      <c r="B2" s="92" t="s">
        <v>166</v>
      </c>
      <c r="C2" s="92"/>
      <c r="D2" s="92"/>
      <c r="E2" s="92"/>
      <c r="F2" s="92"/>
      <c r="G2" s="90"/>
      <c r="H2" s="90"/>
      <c r="I2" s="91"/>
      <c r="J2" s="90"/>
      <c r="K2" s="90"/>
      <c r="L2" s="90"/>
      <c r="M2" s="90"/>
      <c r="N2" s="90"/>
      <c r="O2" s="90"/>
      <c r="P2" s="90"/>
      <c r="Q2" s="98"/>
      <c r="R2" s="90"/>
      <c r="S2" s="98"/>
      <c r="T2" s="90"/>
      <c r="U2" s="98"/>
    </row>
    <row r="3" spans="1:21">
      <c r="A3" s="96"/>
      <c r="B3" s="96"/>
      <c r="C3" s="96"/>
      <c r="D3" s="96"/>
      <c r="E3" s="96"/>
      <c r="F3" s="96"/>
      <c r="G3" s="94" t="s">
        <v>46</v>
      </c>
      <c r="H3" s="94"/>
      <c r="I3" s="95">
        <v>44694</v>
      </c>
      <c r="J3" s="94"/>
      <c r="K3" s="94" t="s">
        <v>175</v>
      </c>
      <c r="L3" s="94"/>
      <c r="M3" s="94" t="s">
        <v>41</v>
      </c>
      <c r="N3" s="94"/>
      <c r="O3" s="94" t="s">
        <v>77</v>
      </c>
      <c r="P3" s="94"/>
      <c r="Q3" s="97">
        <v>217067.76</v>
      </c>
      <c r="R3" s="94"/>
      <c r="S3" s="97"/>
      <c r="T3" s="94"/>
      <c r="U3" s="97">
        <v>217067.76</v>
      </c>
    </row>
    <row r="4" spans="1:21">
      <c r="A4" s="96"/>
      <c r="B4" s="96"/>
      <c r="C4" s="96"/>
      <c r="D4" s="96"/>
      <c r="E4" s="96"/>
      <c r="F4" s="96"/>
      <c r="G4" s="94" t="s">
        <v>42</v>
      </c>
      <c r="H4" s="94"/>
      <c r="I4" s="95">
        <v>44728</v>
      </c>
      <c r="J4" s="94"/>
      <c r="K4" s="94" t="s">
        <v>197</v>
      </c>
      <c r="L4" s="94"/>
      <c r="M4" s="94" t="s">
        <v>41</v>
      </c>
      <c r="N4" s="94"/>
      <c r="O4" s="94" t="s">
        <v>196</v>
      </c>
      <c r="P4" s="94"/>
      <c r="Q4" s="97"/>
      <c r="R4" s="94"/>
      <c r="S4" s="97">
        <v>217067.76</v>
      </c>
      <c r="T4" s="94"/>
      <c r="U4" s="97">
        <v>0</v>
      </c>
    </row>
    <row r="5" spans="1:21">
      <c r="A5" s="96"/>
      <c r="B5" s="96"/>
      <c r="C5" s="96"/>
      <c r="D5" s="96"/>
      <c r="E5" s="96"/>
      <c r="F5" s="96"/>
      <c r="G5" s="94" t="s">
        <v>46</v>
      </c>
      <c r="H5" s="94"/>
      <c r="I5" s="95">
        <v>44732</v>
      </c>
      <c r="J5" s="94"/>
      <c r="K5" s="94" t="s">
        <v>174</v>
      </c>
      <c r="L5" s="94"/>
      <c r="M5" s="94" t="s">
        <v>41</v>
      </c>
      <c r="N5" s="94"/>
      <c r="O5" s="94" t="s">
        <v>70</v>
      </c>
      <c r="P5" s="94"/>
      <c r="Q5" s="97">
        <v>136753.68</v>
      </c>
      <c r="R5" s="94"/>
      <c r="S5" s="97"/>
      <c r="T5" s="94"/>
      <c r="U5" s="97">
        <v>136753.68</v>
      </c>
    </row>
    <row r="6" spans="1:21">
      <c r="A6" s="96"/>
      <c r="B6" s="96"/>
      <c r="C6" s="96"/>
      <c r="D6" s="96"/>
      <c r="E6" s="96"/>
      <c r="F6" s="96"/>
      <c r="G6" s="94" t="s">
        <v>42</v>
      </c>
      <c r="H6" s="94"/>
      <c r="I6" s="95">
        <v>44762</v>
      </c>
      <c r="J6" s="94"/>
      <c r="K6" s="94" t="s">
        <v>195</v>
      </c>
      <c r="L6" s="94"/>
      <c r="M6" s="94" t="s">
        <v>41</v>
      </c>
      <c r="N6" s="94"/>
      <c r="O6" s="94" t="s">
        <v>194</v>
      </c>
      <c r="P6" s="94"/>
      <c r="Q6" s="97"/>
      <c r="R6" s="94"/>
      <c r="S6" s="97">
        <v>136753.68</v>
      </c>
      <c r="T6" s="94"/>
      <c r="U6" s="97">
        <v>0</v>
      </c>
    </row>
    <row r="7" spans="1:21">
      <c r="A7" s="96"/>
      <c r="B7" s="96"/>
      <c r="C7" s="96"/>
      <c r="D7" s="96"/>
      <c r="E7" s="96"/>
      <c r="F7" s="96"/>
      <c r="G7" s="94" t="s">
        <v>46</v>
      </c>
      <c r="H7" s="94"/>
      <c r="I7" s="95">
        <v>44770</v>
      </c>
      <c r="J7" s="94"/>
      <c r="K7" s="94" t="s">
        <v>173</v>
      </c>
      <c r="L7" s="94"/>
      <c r="M7" s="94" t="s">
        <v>41</v>
      </c>
      <c r="N7" s="94"/>
      <c r="O7" s="94" t="s">
        <v>62</v>
      </c>
      <c r="P7" s="94"/>
      <c r="Q7" s="97">
        <v>85322.16</v>
      </c>
      <c r="R7" s="94"/>
      <c r="S7" s="97"/>
      <c r="T7" s="94"/>
      <c r="U7" s="97">
        <v>85322.16</v>
      </c>
    </row>
    <row r="8" spans="1:21">
      <c r="A8" s="96"/>
      <c r="B8" s="96"/>
      <c r="C8" s="96"/>
      <c r="D8" s="96"/>
      <c r="E8" s="96"/>
      <c r="F8" s="96"/>
      <c r="G8" s="94" t="s">
        <v>42</v>
      </c>
      <c r="H8" s="94"/>
      <c r="I8" s="95">
        <v>44813</v>
      </c>
      <c r="J8" s="94"/>
      <c r="K8" s="94" t="s">
        <v>193</v>
      </c>
      <c r="L8" s="94"/>
      <c r="M8" s="94" t="s">
        <v>41</v>
      </c>
      <c r="N8" s="94"/>
      <c r="O8" s="94" t="s">
        <v>192</v>
      </c>
      <c r="P8" s="94"/>
      <c r="Q8" s="97"/>
      <c r="R8" s="94"/>
      <c r="S8" s="97">
        <v>85322.16</v>
      </c>
      <c r="T8" s="94"/>
      <c r="U8" s="97">
        <v>0</v>
      </c>
    </row>
    <row r="9" spans="1:21">
      <c r="A9" s="96"/>
      <c r="B9" s="96"/>
      <c r="C9" s="96"/>
      <c r="D9" s="96"/>
      <c r="E9" s="96"/>
      <c r="F9" s="96"/>
      <c r="G9" s="94" t="s">
        <v>46</v>
      </c>
      <c r="H9" s="94"/>
      <c r="I9" s="95">
        <v>44910</v>
      </c>
      <c r="J9" s="94"/>
      <c r="K9" s="94" t="s">
        <v>172</v>
      </c>
      <c r="L9" s="94"/>
      <c r="M9" s="94" t="s">
        <v>41</v>
      </c>
      <c r="N9" s="94"/>
      <c r="O9" s="94" t="s">
        <v>47</v>
      </c>
      <c r="P9" s="94"/>
      <c r="Q9" s="97">
        <v>225289.68</v>
      </c>
      <c r="R9" s="94"/>
      <c r="S9" s="97"/>
      <c r="T9" s="94"/>
      <c r="U9" s="97">
        <v>225289.68</v>
      </c>
    </row>
    <row r="10" spans="1:21">
      <c r="A10" s="96"/>
      <c r="B10" s="96"/>
      <c r="C10" s="96"/>
      <c r="D10" s="96"/>
      <c r="E10" s="96"/>
      <c r="F10" s="96"/>
      <c r="G10" s="94" t="s">
        <v>46</v>
      </c>
      <c r="H10" s="94"/>
      <c r="I10" s="95">
        <v>44915</v>
      </c>
      <c r="J10" s="94"/>
      <c r="K10" s="94" t="s">
        <v>171</v>
      </c>
      <c r="L10" s="94"/>
      <c r="M10" s="94" t="s">
        <v>41</v>
      </c>
      <c r="N10" s="94"/>
      <c r="O10" s="94" t="s">
        <v>45</v>
      </c>
      <c r="P10" s="94"/>
      <c r="Q10" s="97">
        <v>146813.51999999999</v>
      </c>
      <c r="R10" s="94"/>
      <c r="S10" s="97"/>
      <c r="T10" s="94"/>
      <c r="U10" s="97">
        <v>372103.2</v>
      </c>
    </row>
    <row r="11" spans="1:21">
      <c r="A11" s="96"/>
      <c r="B11" s="96"/>
      <c r="C11" s="96"/>
      <c r="D11" s="96"/>
      <c r="E11" s="96"/>
      <c r="F11" s="96"/>
      <c r="G11" s="94" t="s">
        <v>42</v>
      </c>
      <c r="H11" s="94"/>
      <c r="I11" s="95">
        <v>44937</v>
      </c>
      <c r="J11" s="94"/>
      <c r="K11" s="94" t="s">
        <v>191</v>
      </c>
      <c r="L11" s="94"/>
      <c r="M11" s="94" t="s">
        <v>41</v>
      </c>
      <c r="N11" s="94"/>
      <c r="O11" s="94" t="s">
        <v>190</v>
      </c>
      <c r="P11" s="94"/>
      <c r="Q11" s="97"/>
      <c r="R11" s="94"/>
      <c r="S11" s="97">
        <v>225289.68</v>
      </c>
      <c r="T11" s="94"/>
      <c r="U11" s="97">
        <v>146813.51999999999</v>
      </c>
    </row>
    <row r="12" spans="1:21">
      <c r="A12" s="96"/>
      <c r="B12" s="96"/>
      <c r="C12" s="96"/>
      <c r="D12" s="96"/>
      <c r="E12" s="96"/>
      <c r="F12" s="96"/>
      <c r="G12" s="94" t="s">
        <v>42</v>
      </c>
      <c r="H12" s="94"/>
      <c r="I12" s="95">
        <v>44971</v>
      </c>
      <c r="J12" s="94"/>
      <c r="K12" s="94" t="s">
        <v>189</v>
      </c>
      <c r="L12" s="94"/>
      <c r="M12" s="94" t="s">
        <v>41</v>
      </c>
      <c r="N12" s="94"/>
      <c r="O12" s="94" t="s">
        <v>188</v>
      </c>
      <c r="P12" s="94"/>
      <c r="Q12" s="97"/>
      <c r="R12" s="94"/>
      <c r="S12" s="97">
        <v>146813.51999999999</v>
      </c>
      <c r="T12" s="94"/>
      <c r="U12" s="97">
        <v>0</v>
      </c>
    </row>
    <row r="13" spans="1:21">
      <c r="A13" s="96"/>
      <c r="B13" s="96"/>
      <c r="C13" s="96"/>
      <c r="D13" s="96"/>
      <c r="E13" s="96"/>
      <c r="F13" s="96"/>
      <c r="G13" s="94" t="s">
        <v>46</v>
      </c>
      <c r="H13" s="94"/>
      <c r="I13" s="95">
        <v>45001</v>
      </c>
      <c r="J13" s="94"/>
      <c r="K13" s="94" t="s">
        <v>170</v>
      </c>
      <c r="L13" s="94"/>
      <c r="M13" s="94" t="s">
        <v>41</v>
      </c>
      <c r="N13" s="94"/>
      <c r="O13" s="94" t="s">
        <v>187</v>
      </c>
      <c r="P13" s="94"/>
      <c r="Q13" s="97">
        <v>175812</v>
      </c>
      <c r="R13" s="94"/>
      <c r="S13" s="97"/>
      <c r="T13" s="94"/>
      <c r="U13" s="97">
        <v>175812</v>
      </c>
    </row>
    <row r="14" spans="1:21">
      <c r="A14" s="96"/>
      <c r="B14" s="96"/>
      <c r="C14" s="96"/>
      <c r="D14" s="96"/>
      <c r="E14" s="96"/>
      <c r="F14" s="96"/>
      <c r="G14" s="94" t="s">
        <v>80</v>
      </c>
      <c r="H14" s="94"/>
      <c r="I14" s="95">
        <v>45056</v>
      </c>
      <c r="J14" s="94"/>
      <c r="K14" s="94" t="s">
        <v>186</v>
      </c>
      <c r="L14" s="94"/>
      <c r="M14" s="94" t="s">
        <v>41</v>
      </c>
      <c r="N14" s="94"/>
      <c r="O14" s="94" t="s">
        <v>185</v>
      </c>
      <c r="P14" s="94"/>
      <c r="Q14" s="97"/>
      <c r="R14" s="94"/>
      <c r="S14" s="97">
        <v>689850</v>
      </c>
      <c r="T14" s="94"/>
      <c r="U14" s="97">
        <v>-514038</v>
      </c>
    </row>
    <row r="15" spans="1:21">
      <c r="A15" s="96"/>
      <c r="B15" s="96"/>
      <c r="C15" s="96"/>
      <c r="D15" s="96"/>
      <c r="E15" s="96"/>
      <c r="F15" s="96"/>
      <c r="G15" s="94" t="s">
        <v>80</v>
      </c>
      <c r="H15" s="94"/>
      <c r="I15" s="95">
        <v>45061</v>
      </c>
      <c r="J15" s="94"/>
      <c r="K15" s="94" t="s">
        <v>152</v>
      </c>
      <c r="L15" s="94"/>
      <c r="M15" s="94" t="s">
        <v>41</v>
      </c>
      <c r="N15" s="94"/>
      <c r="O15" s="94" t="s">
        <v>151</v>
      </c>
      <c r="P15" s="94"/>
      <c r="Q15" s="97"/>
      <c r="R15" s="94"/>
      <c r="S15" s="97">
        <v>552503.69999999995</v>
      </c>
      <c r="T15" s="94"/>
      <c r="U15" s="97">
        <v>-1066541.7</v>
      </c>
    </row>
    <row r="16" spans="1:21">
      <c r="A16" s="96"/>
      <c r="B16" s="96"/>
      <c r="C16" s="96"/>
      <c r="D16" s="96"/>
      <c r="E16" s="96"/>
      <c r="F16" s="96"/>
      <c r="G16" s="94" t="s">
        <v>46</v>
      </c>
      <c r="H16" s="94"/>
      <c r="I16" s="95">
        <v>45078</v>
      </c>
      <c r="J16" s="94"/>
      <c r="K16" s="94" t="s">
        <v>169</v>
      </c>
      <c r="L16" s="94"/>
      <c r="M16" s="94" t="s">
        <v>41</v>
      </c>
      <c r="N16" s="94"/>
      <c r="O16" s="94" t="s">
        <v>184</v>
      </c>
      <c r="P16" s="94"/>
      <c r="Q16" s="97">
        <v>689850</v>
      </c>
      <c r="R16" s="94"/>
      <c r="S16" s="97"/>
      <c r="T16" s="94"/>
      <c r="U16" s="97">
        <v>-376691.7</v>
      </c>
    </row>
    <row r="17" spans="1:21">
      <c r="A17" s="96"/>
      <c r="B17" s="96"/>
      <c r="C17" s="96"/>
      <c r="D17" s="96"/>
      <c r="E17" s="96"/>
      <c r="F17" s="96"/>
      <c r="G17" s="94" t="s">
        <v>42</v>
      </c>
      <c r="H17" s="94"/>
      <c r="I17" s="95">
        <v>45078</v>
      </c>
      <c r="J17" s="94"/>
      <c r="K17" s="94" t="s">
        <v>177</v>
      </c>
      <c r="L17" s="94"/>
      <c r="M17" s="94" t="s">
        <v>41</v>
      </c>
      <c r="N17" s="94"/>
      <c r="O17" s="94" t="s">
        <v>176</v>
      </c>
      <c r="P17" s="94"/>
      <c r="Q17" s="97">
        <v>272750.09999999998</v>
      </c>
      <c r="R17" s="94"/>
      <c r="S17" s="97"/>
      <c r="T17" s="94"/>
      <c r="U17" s="97">
        <v>-103941.6</v>
      </c>
    </row>
    <row r="18" spans="1:21">
      <c r="A18" s="96"/>
      <c r="B18" s="96"/>
      <c r="C18" s="96"/>
      <c r="D18" s="96"/>
      <c r="E18" s="96"/>
      <c r="F18" s="96"/>
      <c r="G18" s="94" t="s">
        <v>46</v>
      </c>
      <c r="H18" s="94"/>
      <c r="I18" s="95">
        <v>45082</v>
      </c>
      <c r="J18" s="94"/>
      <c r="K18" s="94" t="s">
        <v>168</v>
      </c>
      <c r="L18" s="94"/>
      <c r="M18" s="94" t="s">
        <v>41</v>
      </c>
      <c r="N18" s="94"/>
      <c r="O18" s="94" t="s">
        <v>183</v>
      </c>
      <c r="P18" s="94"/>
      <c r="Q18" s="97">
        <v>103941.6</v>
      </c>
      <c r="R18" s="94"/>
      <c r="S18" s="97"/>
      <c r="T18" s="94"/>
      <c r="U18" s="97">
        <v>0</v>
      </c>
    </row>
    <row r="19" spans="1:21" ht="15.75" thickBot="1">
      <c r="A19" s="96"/>
      <c r="B19" s="96"/>
      <c r="C19" s="96"/>
      <c r="D19" s="96"/>
      <c r="E19" s="96"/>
      <c r="F19" s="96"/>
      <c r="G19" s="94" t="s">
        <v>46</v>
      </c>
      <c r="H19" s="94"/>
      <c r="I19" s="95">
        <v>45082</v>
      </c>
      <c r="J19" s="94"/>
      <c r="K19" s="94" t="s">
        <v>167</v>
      </c>
      <c r="L19" s="94"/>
      <c r="M19" s="94" t="s">
        <v>41</v>
      </c>
      <c r="N19" s="94"/>
      <c r="O19" s="94" t="s">
        <v>182</v>
      </c>
      <c r="P19" s="94"/>
      <c r="Q19" s="99">
        <v>361399.5</v>
      </c>
      <c r="R19" s="94"/>
      <c r="S19" s="99"/>
      <c r="T19" s="94"/>
      <c r="U19" s="99">
        <v>361399.5</v>
      </c>
    </row>
    <row r="20" spans="1:21" s="100" customFormat="1">
      <c r="A20" s="92"/>
      <c r="B20" s="92" t="s">
        <v>149</v>
      </c>
      <c r="C20" s="92"/>
      <c r="D20" s="92"/>
      <c r="E20" s="92"/>
      <c r="F20" s="92"/>
      <c r="G20" s="90"/>
      <c r="H20" s="90"/>
      <c r="I20" s="91"/>
      <c r="J20" s="90"/>
      <c r="K20" s="90"/>
      <c r="L20" s="90"/>
      <c r="M20" s="90"/>
      <c r="N20" s="90"/>
      <c r="O20" s="90"/>
      <c r="P20" s="90"/>
      <c r="Q20" s="98">
        <v>2415000</v>
      </c>
      <c r="R20" s="90"/>
      <c r="S20" s="98">
        <v>2053600.5</v>
      </c>
      <c r="T20" s="90"/>
      <c r="U20" s="98">
        <v>361399.5</v>
      </c>
    </row>
    <row r="21" spans="1:21">
      <c r="A21" s="92"/>
      <c r="B21" s="92" t="s">
        <v>148</v>
      </c>
      <c r="C21" s="92"/>
      <c r="D21" s="92"/>
      <c r="E21" s="92"/>
      <c r="F21" s="92"/>
      <c r="G21" s="90"/>
      <c r="H21" s="90"/>
      <c r="I21" s="91"/>
      <c r="J21" s="90"/>
      <c r="K21" s="90"/>
      <c r="L21" s="90"/>
      <c r="M21" s="90"/>
      <c r="N21" s="90"/>
      <c r="O21" s="90"/>
      <c r="P21" s="90"/>
      <c r="Q21" s="98"/>
      <c r="R21" s="90"/>
      <c r="S21" s="98"/>
      <c r="T21" s="90"/>
      <c r="U21" s="98"/>
    </row>
    <row r="22" spans="1:21">
      <c r="A22" s="96"/>
      <c r="B22" s="96"/>
      <c r="C22" s="96"/>
      <c r="D22" s="96"/>
      <c r="E22" s="96"/>
      <c r="F22" s="96"/>
      <c r="G22" s="94" t="s">
        <v>46</v>
      </c>
      <c r="H22" s="94"/>
      <c r="I22" s="95">
        <v>44694</v>
      </c>
      <c r="J22" s="94"/>
      <c r="K22" s="94" t="s">
        <v>175</v>
      </c>
      <c r="L22" s="94"/>
      <c r="M22" s="94" t="s">
        <v>41</v>
      </c>
      <c r="N22" s="94"/>
      <c r="O22" s="94" t="s">
        <v>143</v>
      </c>
      <c r="P22" s="94"/>
      <c r="Q22" s="97">
        <v>25841.4</v>
      </c>
      <c r="R22" s="94"/>
      <c r="S22" s="97"/>
      <c r="T22" s="94"/>
      <c r="U22" s="97">
        <v>25841.4</v>
      </c>
    </row>
    <row r="23" spans="1:21">
      <c r="A23" s="96"/>
      <c r="B23" s="96"/>
      <c r="C23" s="96"/>
      <c r="D23" s="96"/>
      <c r="E23" s="96"/>
      <c r="F23" s="96"/>
      <c r="G23" s="94" t="s">
        <v>46</v>
      </c>
      <c r="H23" s="94"/>
      <c r="I23" s="95">
        <v>44694</v>
      </c>
      <c r="J23" s="94"/>
      <c r="K23" s="94" t="s">
        <v>175</v>
      </c>
      <c r="L23" s="94"/>
      <c r="M23" s="94" t="s">
        <v>41</v>
      </c>
      <c r="N23" s="94"/>
      <c r="O23" s="94" t="s">
        <v>147</v>
      </c>
      <c r="P23" s="94"/>
      <c r="Q23" s="97">
        <v>25841.4</v>
      </c>
      <c r="R23" s="94"/>
      <c r="S23" s="97"/>
      <c r="T23" s="94"/>
      <c r="U23" s="97">
        <v>51682.8</v>
      </c>
    </row>
    <row r="24" spans="1:21">
      <c r="A24" s="96"/>
      <c r="B24" s="96"/>
      <c r="C24" s="96"/>
      <c r="D24" s="96"/>
      <c r="E24" s="96"/>
      <c r="F24" s="96"/>
      <c r="G24" s="94" t="s">
        <v>46</v>
      </c>
      <c r="H24" s="94"/>
      <c r="I24" s="95">
        <v>44732</v>
      </c>
      <c r="J24" s="94"/>
      <c r="K24" s="94" t="s">
        <v>174</v>
      </c>
      <c r="L24" s="94"/>
      <c r="M24" s="94" t="s">
        <v>41</v>
      </c>
      <c r="N24" s="94"/>
      <c r="O24" s="94" t="s">
        <v>143</v>
      </c>
      <c r="P24" s="94"/>
      <c r="Q24" s="97">
        <v>16280.2</v>
      </c>
      <c r="R24" s="94"/>
      <c r="S24" s="97"/>
      <c r="T24" s="94"/>
      <c r="U24" s="97">
        <v>67963</v>
      </c>
    </row>
    <row r="25" spans="1:21">
      <c r="A25" s="96"/>
      <c r="B25" s="96"/>
      <c r="C25" s="96"/>
      <c r="D25" s="96"/>
      <c r="E25" s="96"/>
      <c r="F25" s="96"/>
      <c r="G25" s="94" t="s">
        <v>46</v>
      </c>
      <c r="H25" s="94"/>
      <c r="I25" s="95">
        <v>44732</v>
      </c>
      <c r="J25" s="94"/>
      <c r="K25" s="94" t="s">
        <v>174</v>
      </c>
      <c r="L25" s="94"/>
      <c r="M25" s="94" t="s">
        <v>41</v>
      </c>
      <c r="N25" s="94"/>
      <c r="O25" s="94" t="s">
        <v>146</v>
      </c>
      <c r="P25" s="94"/>
      <c r="Q25" s="97">
        <v>16280.2</v>
      </c>
      <c r="R25" s="94"/>
      <c r="S25" s="97"/>
      <c r="T25" s="94"/>
      <c r="U25" s="97">
        <v>84243.199999999997</v>
      </c>
    </row>
    <row r="26" spans="1:21">
      <c r="A26" s="96"/>
      <c r="B26" s="96"/>
      <c r="C26" s="96"/>
      <c r="D26" s="96"/>
      <c r="E26" s="96"/>
      <c r="F26" s="96"/>
      <c r="G26" s="94" t="s">
        <v>46</v>
      </c>
      <c r="H26" s="94"/>
      <c r="I26" s="95">
        <v>44770</v>
      </c>
      <c r="J26" s="94"/>
      <c r="K26" s="94" t="s">
        <v>173</v>
      </c>
      <c r="L26" s="94"/>
      <c r="M26" s="94" t="s">
        <v>41</v>
      </c>
      <c r="N26" s="94"/>
      <c r="O26" s="94" t="s">
        <v>143</v>
      </c>
      <c r="P26" s="94"/>
      <c r="Q26" s="97">
        <v>10157.4</v>
      </c>
      <c r="R26" s="94"/>
      <c r="S26" s="97"/>
      <c r="T26" s="94"/>
      <c r="U26" s="97">
        <v>94400.6</v>
      </c>
    </row>
    <row r="27" spans="1:21">
      <c r="A27" s="96"/>
      <c r="B27" s="96"/>
      <c r="C27" s="96"/>
      <c r="D27" s="96"/>
      <c r="E27" s="96"/>
      <c r="F27" s="96"/>
      <c r="G27" s="94" t="s">
        <v>46</v>
      </c>
      <c r="H27" s="94"/>
      <c r="I27" s="95">
        <v>44770</v>
      </c>
      <c r="J27" s="94"/>
      <c r="K27" s="94" t="s">
        <v>173</v>
      </c>
      <c r="L27" s="94"/>
      <c r="M27" s="94" t="s">
        <v>41</v>
      </c>
      <c r="N27" s="94"/>
      <c r="O27" s="94" t="s">
        <v>145</v>
      </c>
      <c r="P27" s="94"/>
      <c r="Q27" s="97">
        <v>10157.4</v>
      </c>
      <c r="R27" s="94"/>
      <c r="S27" s="97"/>
      <c r="T27" s="94"/>
      <c r="U27" s="97">
        <v>104558</v>
      </c>
    </row>
    <row r="28" spans="1:21">
      <c r="A28" s="96"/>
      <c r="B28" s="96"/>
      <c r="C28" s="96"/>
      <c r="D28" s="96"/>
      <c r="E28" s="96"/>
      <c r="F28" s="96"/>
      <c r="G28" s="94" t="s">
        <v>46</v>
      </c>
      <c r="H28" s="94"/>
      <c r="I28" s="95">
        <v>44910</v>
      </c>
      <c r="J28" s="94"/>
      <c r="K28" s="94" t="s">
        <v>172</v>
      </c>
      <c r="L28" s="94"/>
      <c r="M28" s="94" t="s">
        <v>41</v>
      </c>
      <c r="N28" s="94"/>
      <c r="O28" s="94" t="s">
        <v>143</v>
      </c>
      <c r="P28" s="94"/>
      <c r="Q28" s="97">
        <v>26820.2</v>
      </c>
      <c r="R28" s="94"/>
      <c r="S28" s="97"/>
      <c r="T28" s="94"/>
      <c r="U28" s="97">
        <v>131378.20000000001</v>
      </c>
    </row>
    <row r="29" spans="1:21">
      <c r="A29" s="96"/>
      <c r="B29" s="96"/>
      <c r="C29" s="96"/>
      <c r="D29" s="96"/>
      <c r="E29" s="96"/>
      <c r="F29" s="96"/>
      <c r="G29" s="94" t="s">
        <v>46</v>
      </c>
      <c r="H29" s="94"/>
      <c r="I29" s="95">
        <v>44910</v>
      </c>
      <c r="J29" s="94"/>
      <c r="K29" s="94" t="s">
        <v>172</v>
      </c>
      <c r="L29" s="94"/>
      <c r="M29" s="94" t="s">
        <v>41</v>
      </c>
      <c r="N29" s="94"/>
      <c r="O29" s="94" t="s">
        <v>181</v>
      </c>
      <c r="P29" s="94"/>
      <c r="Q29" s="97">
        <v>26820.2</v>
      </c>
      <c r="R29" s="94"/>
      <c r="S29" s="97"/>
      <c r="T29" s="94"/>
      <c r="U29" s="97">
        <v>158198.39999999999</v>
      </c>
    </row>
    <row r="30" spans="1:21">
      <c r="A30" s="96"/>
      <c r="B30" s="96"/>
      <c r="C30" s="96"/>
      <c r="D30" s="96"/>
      <c r="E30" s="96"/>
      <c r="F30" s="96"/>
      <c r="G30" s="94" t="s">
        <v>46</v>
      </c>
      <c r="H30" s="94"/>
      <c r="I30" s="95">
        <v>44915</v>
      </c>
      <c r="J30" s="94"/>
      <c r="K30" s="94" t="s">
        <v>171</v>
      </c>
      <c r="L30" s="94"/>
      <c r="M30" s="94" t="s">
        <v>41</v>
      </c>
      <c r="N30" s="94"/>
      <c r="O30" s="94" t="s">
        <v>143</v>
      </c>
      <c r="P30" s="94"/>
      <c r="Q30" s="97">
        <v>17477.8</v>
      </c>
      <c r="R30" s="94"/>
      <c r="S30" s="97"/>
      <c r="T30" s="94"/>
      <c r="U30" s="97">
        <v>175676.2</v>
      </c>
    </row>
    <row r="31" spans="1:21">
      <c r="A31" s="96"/>
      <c r="B31" s="96"/>
      <c r="C31" s="96"/>
      <c r="D31" s="96"/>
      <c r="E31" s="96"/>
      <c r="F31" s="96"/>
      <c r="G31" s="94" t="s">
        <v>46</v>
      </c>
      <c r="H31" s="94"/>
      <c r="I31" s="95">
        <v>44915</v>
      </c>
      <c r="J31" s="94"/>
      <c r="K31" s="94" t="s">
        <v>171</v>
      </c>
      <c r="L31" s="94"/>
      <c r="M31" s="94" t="s">
        <v>41</v>
      </c>
      <c r="N31" s="94"/>
      <c r="O31" s="94" t="s">
        <v>180</v>
      </c>
      <c r="P31" s="94"/>
      <c r="Q31" s="97">
        <v>17477.8</v>
      </c>
      <c r="R31" s="94"/>
      <c r="S31" s="97"/>
      <c r="T31" s="94"/>
      <c r="U31" s="97">
        <v>193154</v>
      </c>
    </row>
    <row r="32" spans="1:21">
      <c r="A32" s="96"/>
      <c r="B32" s="96"/>
      <c r="C32" s="96"/>
      <c r="D32" s="96"/>
      <c r="E32" s="96"/>
      <c r="F32" s="96"/>
      <c r="G32" s="94" t="s">
        <v>46</v>
      </c>
      <c r="H32" s="94"/>
      <c r="I32" s="95">
        <v>45001</v>
      </c>
      <c r="J32" s="94"/>
      <c r="K32" s="94" t="s">
        <v>170</v>
      </c>
      <c r="L32" s="94"/>
      <c r="M32" s="94" t="s">
        <v>41</v>
      </c>
      <c r="N32" s="94"/>
      <c r="O32" s="94" t="s">
        <v>143</v>
      </c>
      <c r="P32" s="94"/>
      <c r="Q32" s="97">
        <v>20930</v>
      </c>
      <c r="R32" s="94"/>
      <c r="S32" s="97"/>
      <c r="T32" s="94"/>
      <c r="U32" s="97">
        <v>214084</v>
      </c>
    </row>
    <row r="33" spans="1:21">
      <c r="A33" s="96"/>
      <c r="B33" s="96"/>
      <c r="C33" s="96"/>
      <c r="D33" s="96"/>
      <c r="E33" s="96"/>
      <c r="F33" s="96"/>
      <c r="G33" s="94" t="s">
        <v>46</v>
      </c>
      <c r="H33" s="94"/>
      <c r="I33" s="95">
        <v>45001</v>
      </c>
      <c r="J33" s="94"/>
      <c r="K33" s="94" t="s">
        <v>170</v>
      </c>
      <c r="L33" s="94"/>
      <c r="M33" s="94" t="s">
        <v>41</v>
      </c>
      <c r="N33" s="94"/>
      <c r="O33" s="94" t="s">
        <v>179</v>
      </c>
      <c r="P33" s="94"/>
      <c r="Q33" s="97">
        <v>20930</v>
      </c>
      <c r="R33" s="94"/>
      <c r="S33" s="97"/>
      <c r="T33" s="94"/>
      <c r="U33" s="97">
        <v>235014</v>
      </c>
    </row>
    <row r="34" spans="1:21">
      <c r="A34" s="96"/>
      <c r="B34" s="96"/>
      <c r="C34" s="96"/>
      <c r="D34" s="96"/>
      <c r="E34" s="96"/>
      <c r="F34" s="96"/>
      <c r="G34" s="94" t="s">
        <v>42</v>
      </c>
      <c r="H34" s="94"/>
      <c r="I34" s="95">
        <v>45078</v>
      </c>
      <c r="J34" s="94"/>
      <c r="K34" s="94" t="s">
        <v>177</v>
      </c>
      <c r="L34" s="94"/>
      <c r="M34" s="94" t="s">
        <v>41</v>
      </c>
      <c r="N34" s="94"/>
      <c r="O34" s="94" t="s">
        <v>176</v>
      </c>
      <c r="P34" s="94"/>
      <c r="Q34" s="97"/>
      <c r="R34" s="94"/>
      <c r="S34" s="97">
        <v>259762</v>
      </c>
      <c r="T34" s="94"/>
      <c r="U34" s="97">
        <v>-24748</v>
      </c>
    </row>
    <row r="35" spans="1:21">
      <c r="A35" s="96"/>
      <c r="B35" s="96"/>
      <c r="C35" s="96"/>
      <c r="D35" s="96"/>
      <c r="E35" s="96"/>
      <c r="F35" s="96"/>
      <c r="G35" s="94" t="s">
        <v>46</v>
      </c>
      <c r="H35" s="94"/>
      <c r="I35" s="95">
        <v>45082</v>
      </c>
      <c r="J35" s="94"/>
      <c r="K35" s="94" t="s">
        <v>168</v>
      </c>
      <c r="L35" s="94"/>
      <c r="M35" s="94" t="s">
        <v>41</v>
      </c>
      <c r="N35" s="94"/>
      <c r="O35" s="94" t="s">
        <v>143</v>
      </c>
      <c r="P35" s="94"/>
      <c r="Q35" s="97">
        <v>12374</v>
      </c>
      <c r="R35" s="94"/>
      <c r="S35" s="97"/>
      <c r="T35" s="94"/>
      <c r="U35" s="97">
        <v>-12374</v>
      </c>
    </row>
    <row r="36" spans="1:21" ht="15.75" thickBot="1">
      <c r="A36" s="96"/>
      <c r="B36" s="96"/>
      <c r="C36" s="96"/>
      <c r="D36" s="96"/>
      <c r="E36" s="96"/>
      <c r="F36" s="96"/>
      <c r="G36" s="94" t="s">
        <v>46</v>
      </c>
      <c r="H36" s="94"/>
      <c r="I36" s="95">
        <v>45082</v>
      </c>
      <c r="J36" s="94"/>
      <c r="K36" s="94" t="s">
        <v>168</v>
      </c>
      <c r="L36" s="94"/>
      <c r="M36" s="94" t="s">
        <v>41</v>
      </c>
      <c r="N36" s="94"/>
      <c r="O36" s="94" t="s">
        <v>178</v>
      </c>
      <c r="P36" s="94"/>
      <c r="Q36" s="99">
        <v>12374</v>
      </c>
      <c r="R36" s="94"/>
      <c r="S36" s="99"/>
      <c r="T36" s="94"/>
      <c r="U36" s="99">
        <v>0</v>
      </c>
    </row>
    <row r="37" spans="1:21">
      <c r="A37" s="96"/>
      <c r="B37" s="96" t="s">
        <v>141</v>
      </c>
      <c r="C37" s="96"/>
      <c r="D37" s="96"/>
      <c r="E37" s="96"/>
      <c r="F37" s="96"/>
      <c r="G37" s="94"/>
      <c r="H37" s="94"/>
      <c r="I37" s="95"/>
      <c r="J37" s="94"/>
      <c r="K37" s="94"/>
      <c r="L37" s="94"/>
      <c r="M37" s="94"/>
      <c r="N37" s="94"/>
      <c r="O37" s="94"/>
      <c r="P37" s="94"/>
      <c r="Q37" s="97">
        <f>ROUND(SUM(Q21:Q36),5)</f>
        <v>259762</v>
      </c>
      <c r="R37" s="94"/>
      <c r="S37" s="97">
        <f>ROUND(SUM(S21:S36),5)</f>
        <v>259762</v>
      </c>
      <c r="T37" s="94"/>
      <c r="U37" s="97">
        <f>U36</f>
        <v>0</v>
      </c>
    </row>
    <row r="38" spans="1:21">
      <c r="A38" s="92"/>
      <c r="B38" s="92" t="s">
        <v>140</v>
      </c>
      <c r="C38" s="92"/>
      <c r="D38" s="92"/>
      <c r="E38" s="92"/>
      <c r="F38" s="92"/>
      <c r="G38" s="90"/>
      <c r="H38" s="90"/>
      <c r="I38" s="91"/>
      <c r="J38" s="90"/>
      <c r="K38" s="90"/>
      <c r="L38" s="90"/>
      <c r="M38" s="90"/>
      <c r="N38" s="90"/>
      <c r="O38" s="90"/>
      <c r="P38" s="90"/>
      <c r="Q38" s="98"/>
      <c r="R38" s="90"/>
      <c r="S38" s="98"/>
      <c r="T38" s="90"/>
      <c r="U38" s="98"/>
    </row>
    <row r="39" spans="1:21">
      <c r="A39" s="96"/>
      <c r="B39" s="96"/>
      <c r="C39" s="96"/>
      <c r="D39" s="96"/>
      <c r="E39" s="96"/>
      <c r="F39" s="96"/>
      <c r="G39" s="94" t="s">
        <v>46</v>
      </c>
      <c r="H39" s="94"/>
      <c r="I39" s="95">
        <v>44694</v>
      </c>
      <c r="J39" s="94"/>
      <c r="K39" s="94" t="s">
        <v>175</v>
      </c>
      <c r="L39" s="94"/>
      <c r="M39" s="94" t="s">
        <v>41</v>
      </c>
      <c r="N39" s="94"/>
      <c r="O39" s="94" t="s">
        <v>139</v>
      </c>
      <c r="P39" s="94"/>
      <c r="Q39" s="97"/>
      <c r="R39" s="94"/>
      <c r="S39" s="97">
        <v>10336.56</v>
      </c>
      <c r="T39" s="94"/>
      <c r="U39" s="97">
        <v>-10336.56</v>
      </c>
    </row>
    <row r="40" spans="1:21">
      <c r="A40" s="96"/>
      <c r="B40" s="96"/>
      <c r="C40" s="96"/>
      <c r="D40" s="96"/>
      <c r="E40" s="96"/>
      <c r="F40" s="96"/>
      <c r="G40" s="94" t="s">
        <v>46</v>
      </c>
      <c r="H40" s="94"/>
      <c r="I40" s="95">
        <v>44732</v>
      </c>
      <c r="J40" s="94"/>
      <c r="K40" s="94" t="s">
        <v>174</v>
      </c>
      <c r="L40" s="94"/>
      <c r="M40" s="94" t="s">
        <v>41</v>
      </c>
      <c r="N40" s="94"/>
      <c r="O40" s="94" t="s">
        <v>139</v>
      </c>
      <c r="P40" s="94"/>
      <c r="Q40" s="97"/>
      <c r="R40" s="94"/>
      <c r="S40" s="97">
        <v>6512.08</v>
      </c>
      <c r="T40" s="94"/>
      <c r="U40" s="97">
        <v>-16848.64</v>
      </c>
    </row>
    <row r="41" spans="1:21">
      <c r="A41" s="96"/>
      <c r="B41" s="96"/>
      <c r="C41" s="96"/>
      <c r="D41" s="96"/>
      <c r="E41" s="96"/>
      <c r="F41" s="96"/>
      <c r="G41" s="94" t="s">
        <v>46</v>
      </c>
      <c r="H41" s="94"/>
      <c r="I41" s="95">
        <v>44770</v>
      </c>
      <c r="J41" s="94"/>
      <c r="K41" s="94" t="s">
        <v>173</v>
      </c>
      <c r="L41" s="94"/>
      <c r="M41" s="94" t="s">
        <v>41</v>
      </c>
      <c r="N41" s="94"/>
      <c r="O41" s="94" t="s">
        <v>139</v>
      </c>
      <c r="P41" s="94"/>
      <c r="Q41" s="97"/>
      <c r="R41" s="94"/>
      <c r="S41" s="97">
        <v>4062.96</v>
      </c>
      <c r="T41" s="94"/>
      <c r="U41" s="97">
        <v>-20911.599999999999</v>
      </c>
    </row>
    <row r="42" spans="1:21">
      <c r="A42" s="96"/>
      <c r="B42" s="96"/>
      <c r="C42" s="96"/>
      <c r="D42" s="96"/>
      <c r="E42" s="96"/>
      <c r="F42" s="96"/>
      <c r="G42" s="94" t="s">
        <v>46</v>
      </c>
      <c r="H42" s="94"/>
      <c r="I42" s="95">
        <v>44910</v>
      </c>
      <c r="J42" s="94"/>
      <c r="K42" s="94" t="s">
        <v>172</v>
      </c>
      <c r="L42" s="94"/>
      <c r="M42" s="94" t="s">
        <v>41</v>
      </c>
      <c r="N42" s="94"/>
      <c r="O42" s="94" t="s">
        <v>139</v>
      </c>
      <c r="P42" s="94"/>
      <c r="Q42" s="97"/>
      <c r="R42" s="94"/>
      <c r="S42" s="97">
        <v>10728.08</v>
      </c>
      <c r="T42" s="94"/>
      <c r="U42" s="97">
        <v>-31639.68</v>
      </c>
    </row>
    <row r="43" spans="1:21">
      <c r="A43" s="96"/>
      <c r="B43" s="96"/>
      <c r="C43" s="96"/>
      <c r="D43" s="96"/>
      <c r="E43" s="96"/>
      <c r="F43" s="96"/>
      <c r="G43" s="94" t="s">
        <v>46</v>
      </c>
      <c r="H43" s="94"/>
      <c r="I43" s="95">
        <v>44915</v>
      </c>
      <c r="J43" s="94"/>
      <c r="K43" s="94" t="s">
        <v>171</v>
      </c>
      <c r="L43" s="94"/>
      <c r="M43" s="94" t="s">
        <v>41</v>
      </c>
      <c r="N43" s="94"/>
      <c r="O43" s="94" t="s">
        <v>139</v>
      </c>
      <c r="P43" s="94"/>
      <c r="Q43" s="97"/>
      <c r="R43" s="94"/>
      <c r="S43" s="97">
        <v>6991.12</v>
      </c>
      <c r="T43" s="94"/>
      <c r="U43" s="97">
        <v>-38630.800000000003</v>
      </c>
    </row>
    <row r="44" spans="1:21">
      <c r="A44" s="96"/>
      <c r="B44" s="96"/>
      <c r="C44" s="96"/>
      <c r="D44" s="96"/>
      <c r="E44" s="96"/>
      <c r="F44" s="96"/>
      <c r="G44" s="94" t="s">
        <v>46</v>
      </c>
      <c r="H44" s="94"/>
      <c r="I44" s="95">
        <v>45001</v>
      </c>
      <c r="J44" s="94"/>
      <c r="K44" s="94" t="s">
        <v>170</v>
      </c>
      <c r="L44" s="94"/>
      <c r="M44" s="94" t="s">
        <v>41</v>
      </c>
      <c r="N44" s="94"/>
      <c r="O44" s="94" t="s">
        <v>139</v>
      </c>
      <c r="P44" s="94"/>
      <c r="Q44" s="97"/>
      <c r="R44" s="94"/>
      <c r="S44" s="97">
        <v>8372</v>
      </c>
      <c r="T44" s="94"/>
      <c r="U44" s="97">
        <v>-47002.8</v>
      </c>
    </row>
    <row r="45" spans="1:21">
      <c r="A45" s="96"/>
      <c r="B45" s="96"/>
      <c r="C45" s="96"/>
      <c r="D45" s="96"/>
      <c r="E45" s="96"/>
      <c r="F45" s="96"/>
      <c r="G45" s="94" t="s">
        <v>46</v>
      </c>
      <c r="H45" s="94"/>
      <c r="I45" s="95">
        <v>45078</v>
      </c>
      <c r="J45" s="94"/>
      <c r="K45" s="94" t="s">
        <v>169</v>
      </c>
      <c r="L45" s="94"/>
      <c r="M45" s="94" t="s">
        <v>41</v>
      </c>
      <c r="N45" s="94"/>
      <c r="O45" s="94" t="s">
        <v>139</v>
      </c>
      <c r="P45" s="94"/>
      <c r="Q45" s="97"/>
      <c r="R45" s="94"/>
      <c r="S45" s="97">
        <v>32850</v>
      </c>
      <c r="T45" s="94"/>
      <c r="U45" s="97">
        <v>-79852.800000000003</v>
      </c>
    </row>
    <row r="46" spans="1:21">
      <c r="A46" s="96"/>
      <c r="B46" s="96"/>
      <c r="C46" s="96"/>
      <c r="D46" s="96"/>
      <c r="E46" s="96"/>
      <c r="F46" s="96"/>
      <c r="G46" s="94" t="s">
        <v>42</v>
      </c>
      <c r="H46" s="94"/>
      <c r="I46" s="95">
        <v>45078</v>
      </c>
      <c r="J46" s="94"/>
      <c r="K46" s="94" t="s">
        <v>177</v>
      </c>
      <c r="L46" s="94"/>
      <c r="M46" s="94" t="s">
        <v>41</v>
      </c>
      <c r="N46" s="94"/>
      <c r="O46" s="94" t="s">
        <v>176</v>
      </c>
      <c r="P46" s="94"/>
      <c r="Q46" s="97"/>
      <c r="R46" s="94"/>
      <c r="S46" s="97">
        <v>12988.1</v>
      </c>
      <c r="T46" s="94"/>
      <c r="U46" s="97">
        <v>-92840.9</v>
      </c>
    </row>
    <row r="47" spans="1:21">
      <c r="A47" s="96"/>
      <c r="B47" s="96"/>
      <c r="C47" s="96"/>
      <c r="D47" s="96"/>
      <c r="E47" s="96"/>
      <c r="F47" s="96"/>
      <c r="G47" s="94" t="s">
        <v>46</v>
      </c>
      <c r="H47" s="94"/>
      <c r="I47" s="95">
        <v>45082</v>
      </c>
      <c r="J47" s="94"/>
      <c r="K47" s="94" t="s">
        <v>168</v>
      </c>
      <c r="L47" s="94"/>
      <c r="M47" s="94" t="s">
        <v>41</v>
      </c>
      <c r="N47" s="94"/>
      <c r="O47" s="94" t="s">
        <v>139</v>
      </c>
      <c r="P47" s="94"/>
      <c r="Q47" s="97"/>
      <c r="R47" s="94"/>
      <c r="S47" s="97">
        <v>4949.6000000000004</v>
      </c>
      <c r="T47" s="94"/>
      <c r="U47" s="97">
        <v>-97790.5</v>
      </c>
    </row>
    <row r="48" spans="1:21" ht="15.75" thickBot="1">
      <c r="A48" s="96"/>
      <c r="B48" s="96"/>
      <c r="C48" s="96"/>
      <c r="D48" s="96"/>
      <c r="E48" s="96"/>
      <c r="F48" s="96"/>
      <c r="G48" s="94" t="s">
        <v>46</v>
      </c>
      <c r="H48" s="94"/>
      <c r="I48" s="95">
        <v>45082</v>
      </c>
      <c r="J48" s="94"/>
      <c r="K48" s="94" t="s">
        <v>167</v>
      </c>
      <c r="L48" s="94"/>
      <c r="M48" s="94" t="s">
        <v>41</v>
      </c>
      <c r="N48" s="94"/>
      <c r="O48" s="94" t="s">
        <v>139</v>
      </c>
      <c r="P48" s="94"/>
      <c r="Q48" s="99"/>
      <c r="R48" s="94"/>
      <c r="S48" s="99">
        <v>17209.5</v>
      </c>
      <c r="T48" s="94"/>
      <c r="U48" s="99">
        <v>-115000</v>
      </c>
    </row>
    <row r="49" spans="1:21">
      <c r="A49" s="96"/>
      <c r="B49" s="96" t="s">
        <v>138</v>
      </c>
      <c r="C49" s="96"/>
      <c r="D49" s="96"/>
      <c r="E49" s="96"/>
      <c r="F49" s="96"/>
      <c r="G49" s="94"/>
      <c r="H49" s="94"/>
      <c r="I49" s="95"/>
      <c r="J49" s="94"/>
      <c r="K49" s="94"/>
      <c r="L49" s="94"/>
      <c r="M49" s="94"/>
      <c r="N49" s="94"/>
      <c r="O49" s="94"/>
      <c r="P49" s="94"/>
      <c r="Q49" s="97">
        <f>ROUND(SUM(Q38:Q48),5)</f>
        <v>0</v>
      </c>
      <c r="R49" s="94"/>
      <c r="S49" s="97">
        <f>ROUND(SUM(S38:S48),5)</f>
        <v>115000</v>
      </c>
      <c r="T49" s="94"/>
      <c r="U49" s="97">
        <f>U48</f>
        <v>-115000</v>
      </c>
    </row>
    <row r="50" spans="1:21">
      <c r="A50" s="92"/>
      <c r="B50" s="92" t="s">
        <v>137</v>
      </c>
      <c r="C50" s="92"/>
      <c r="D50" s="92"/>
      <c r="E50" s="92"/>
      <c r="F50" s="92"/>
      <c r="G50" s="90"/>
      <c r="H50" s="90"/>
      <c r="I50" s="91"/>
      <c r="J50" s="90"/>
      <c r="K50" s="90"/>
      <c r="L50" s="90"/>
      <c r="M50" s="90"/>
      <c r="N50" s="90"/>
      <c r="O50" s="90"/>
      <c r="P50" s="90"/>
      <c r="Q50" s="98"/>
      <c r="R50" s="90"/>
      <c r="S50" s="98"/>
      <c r="T50" s="90"/>
      <c r="U50" s="98"/>
    </row>
    <row r="51" spans="1:21">
      <c r="A51" s="92"/>
      <c r="B51" s="92"/>
      <c r="C51" s="92" t="s">
        <v>136</v>
      </c>
      <c r="D51" s="92"/>
      <c r="E51" s="92"/>
      <c r="F51" s="92"/>
      <c r="G51" s="90"/>
      <c r="H51" s="90"/>
      <c r="I51" s="91"/>
      <c r="J51" s="90"/>
      <c r="K51" s="90"/>
      <c r="L51" s="90"/>
      <c r="M51" s="90"/>
      <c r="N51" s="90"/>
      <c r="O51" s="90"/>
      <c r="P51" s="90"/>
      <c r="Q51" s="98"/>
      <c r="R51" s="90"/>
      <c r="S51" s="98"/>
      <c r="T51" s="90"/>
      <c r="U51" s="98"/>
    </row>
    <row r="52" spans="1:21">
      <c r="A52" s="92"/>
      <c r="B52" s="92"/>
      <c r="C52" s="92"/>
      <c r="D52" s="92" t="s">
        <v>135</v>
      </c>
      <c r="E52" s="92"/>
      <c r="F52" s="92"/>
      <c r="G52" s="90"/>
      <c r="H52" s="90"/>
      <c r="I52" s="91"/>
      <c r="J52" s="90"/>
      <c r="K52" s="90"/>
      <c r="L52" s="90"/>
      <c r="M52" s="90"/>
      <c r="N52" s="90"/>
      <c r="O52" s="90"/>
      <c r="P52" s="90"/>
      <c r="Q52" s="98"/>
      <c r="R52" s="90"/>
      <c r="S52" s="98"/>
      <c r="T52" s="90"/>
      <c r="U52" s="98"/>
    </row>
    <row r="53" spans="1:21">
      <c r="A53" s="96"/>
      <c r="B53" s="96"/>
      <c r="C53" s="96"/>
      <c r="D53" s="96"/>
      <c r="E53" s="96"/>
      <c r="F53" s="96"/>
      <c r="G53" s="94" t="s">
        <v>46</v>
      </c>
      <c r="H53" s="94"/>
      <c r="I53" s="95">
        <v>44694</v>
      </c>
      <c r="J53" s="94"/>
      <c r="K53" s="94" t="s">
        <v>175</v>
      </c>
      <c r="L53" s="94"/>
      <c r="M53" s="94" t="s">
        <v>41</v>
      </c>
      <c r="N53" s="94"/>
      <c r="O53" s="94" t="s">
        <v>133</v>
      </c>
      <c r="P53" s="94"/>
      <c r="Q53" s="97"/>
      <c r="R53" s="94"/>
      <c r="S53" s="97">
        <v>258414</v>
      </c>
      <c r="T53" s="94"/>
      <c r="U53" s="97">
        <v>-258414</v>
      </c>
    </row>
    <row r="54" spans="1:21">
      <c r="A54" s="96"/>
      <c r="B54" s="96"/>
      <c r="C54" s="96"/>
      <c r="D54" s="96"/>
      <c r="E54" s="96"/>
      <c r="F54" s="96"/>
      <c r="G54" s="94" t="s">
        <v>46</v>
      </c>
      <c r="H54" s="94"/>
      <c r="I54" s="95">
        <v>44732</v>
      </c>
      <c r="J54" s="94"/>
      <c r="K54" s="94" t="s">
        <v>174</v>
      </c>
      <c r="L54" s="94"/>
      <c r="M54" s="94" t="s">
        <v>41</v>
      </c>
      <c r="N54" s="94"/>
      <c r="O54" s="94" t="s">
        <v>125</v>
      </c>
      <c r="P54" s="94"/>
      <c r="Q54" s="97"/>
      <c r="R54" s="94"/>
      <c r="S54" s="97">
        <v>162802</v>
      </c>
      <c r="T54" s="94"/>
      <c r="U54" s="97">
        <v>-421216</v>
      </c>
    </row>
    <row r="55" spans="1:21">
      <c r="A55" s="96"/>
      <c r="B55" s="96"/>
      <c r="C55" s="96"/>
      <c r="D55" s="96"/>
      <c r="E55" s="96"/>
      <c r="F55" s="96"/>
      <c r="G55" s="94" t="s">
        <v>46</v>
      </c>
      <c r="H55" s="94"/>
      <c r="I55" s="95">
        <v>44770</v>
      </c>
      <c r="J55" s="94"/>
      <c r="K55" s="94" t="s">
        <v>173</v>
      </c>
      <c r="L55" s="94"/>
      <c r="M55" s="94" t="s">
        <v>41</v>
      </c>
      <c r="N55" s="94"/>
      <c r="O55" s="94" t="s">
        <v>125</v>
      </c>
      <c r="P55" s="94"/>
      <c r="Q55" s="97"/>
      <c r="R55" s="94"/>
      <c r="S55" s="97">
        <v>101574</v>
      </c>
      <c r="T55" s="94"/>
      <c r="U55" s="97">
        <v>-522790</v>
      </c>
    </row>
    <row r="56" spans="1:21">
      <c r="A56" s="96"/>
      <c r="B56" s="96"/>
      <c r="C56" s="96"/>
      <c r="D56" s="96"/>
      <c r="E56" s="96"/>
      <c r="F56" s="96"/>
      <c r="G56" s="94" t="s">
        <v>46</v>
      </c>
      <c r="H56" s="94"/>
      <c r="I56" s="95">
        <v>44910</v>
      </c>
      <c r="J56" s="94"/>
      <c r="K56" s="94" t="s">
        <v>172</v>
      </c>
      <c r="L56" s="94"/>
      <c r="M56" s="94" t="s">
        <v>41</v>
      </c>
      <c r="N56" s="94"/>
      <c r="O56" s="94" t="s">
        <v>125</v>
      </c>
      <c r="P56" s="94"/>
      <c r="Q56" s="97"/>
      <c r="R56" s="94"/>
      <c r="S56" s="97">
        <v>268202</v>
      </c>
      <c r="T56" s="94"/>
      <c r="U56" s="97">
        <v>-790992</v>
      </c>
    </row>
    <row r="57" spans="1:21">
      <c r="A57" s="96"/>
      <c r="B57" s="96"/>
      <c r="C57" s="96"/>
      <c r="D57" s="96"/>
      <c r="E57" s="96"/>
      <c r="F57" s="96"/>
      <c r="G57" s="94" t="s">
        <v>46</v>
      </c>
      <c r="H57" s="94"/>
      <c r="I57" s="95">
        <v>44915</v>
      </c>
      <c r="J57" s="94"/>
      <c r="K57" s="94" t="s">
        <v>171</v>
      </c>
      <c r="L57" s="94"/>
      <c r="M57" s="94" t="s">
        <v>41</v>
      </c>
      <c r="N57" s="94"/>
      <c r="O57" s="94" t="s">
        <v>125</v>
      </c>
      <c r="P57" s="94"/>
      <c r="Q57" s="97"/>
      <c r="R57" s="94"/>
      <c r="S57" s="97">
        <v>174778</v>
      </c>
      <c r="T57" s="94"/>
      <c r="U57" s="97">
        <v>-965770</v>
      </c>
    </row>
    <row r="58" spans="1:21">
      <c r="A58" s="96"/>
      <c r="B58" s="96"/>
      <c r="C58" s="96"/>
      <c r="D58" s="96"/>
      <c r="E58" s="96"/>
      <c r="F58" s="96"/>
      <c r="G58" s="94" t="s">
        <v>46</v>
      </c>
      <c r="H58" s="94"/>
      <c r="I58" s="95">
        <v>45001</v>
      </c>
      <c r="J58" s="94"/>
      <c r="K58" s="94" t="s">
        <v>170</v>
      </c>
      <c r="L58" s="94"/>
      <c r="M58" s="94" t="s">
        <v>41</v>
      </c>
      <c r="N58" s="94"/>
      <c r="O58" s="94" t="s">
        <v>125</v>
      </c>
      <c r="P58" s="94"/>
      <c r="Q58" s="97"/>
      <c r="R58" s="94"/>
      <c r="S58" s="97">
        <v>209300</v>
      </c>
      <c r="T58" s="94"/>
      <c r="U58" s="97">
        <v>-1175070</v>
      </c>
    </row>
    <row r="59" spans="1:21">
      <c r="A59" s="96"/>
      <c r="B59" s="96"/>
      <c r="C59" s="96"/>
      <c r="D59" s="96"/>
      <c r="E59" s="96"/>
      <c r="F59" s="96"/>
      <c r="G59" s="94" t="s">
        <v>46</v>
      </c>
      <c r="H59" s="94"/>
      <c r="I59" s="95">
        <v>45078</v>
      </c>
      <c r="J59" s="94"/>
      <c r="K59" s="94" t="s">
        <v>169</v>
      </c>
      <c r="L59" s="94"/>
      <c r="M59" s="94" t="s">
        <v>41</v>
      </c>
      <c r="N59" s="94"/>
      <c r="O59" s="94" t="s">
        <v>125</v>
      </c>
      <c r="P59" s="94"/>
      <c r="Q59" s="97"/>
      <c r="R59" s="94"/>
      <c r="S59" s="97">
        <v>657000</v>
      </c>
      <c r="T59" s="94"/>
      <c r="U59" s="97">
        <v>-1832070</v>
      </c>
    </row>
    <row r="60" spans="1:21">
      <c r="A60" s="96"/>
      <c r="B60" s="96"/>
      <c r="C60" s="96"/>
      <c r="D60" s="96"/>
      <c r="E60" s="96"/>
      <c r="F60" s="96"/>
      <c r="G60" s="94" t="s">
        <v>46</v>
      </c>
      <c r="H60" s="94"/>
      <c r="I60" s="95">
        <v>45082</v>
      </c>
      <c r="J60" s="94"/>
      <c r="K60" s="94" t="s">
        <v>168</v>
      </c>
      <c r="L60" s="94"/>
      <c r="M60" s="94" t="s">
        <v>41</v>
      </c>
      <c r="N60" s="94"/>
      <c r="O60" s="94" t="s">
        <v>125</v>
      </c>
      <c r="P60" s="94"/>
      <c r="Q60" s="97"/>
      <c r="R60" s="94"/>
      <c r="S60" s="97">
        <v>123740</v>
      </c>
      <c r="T60" s="94"/>
      <c r="U60" s="97">
        <v>-1955810</v>
      </c>
    </row>
    <row r="61" spans="1:21" ht="15.75" thickBot="1">
      <c r="A61" s="96"/>
      <c r="B61" s="96"/>
      <c r="C61" s="96"/>
      <c r="D61" s="96"/>
      <c r="E61" s="96"/>
      <c r="F61" s="96"/>
      <c r="G61" s="94" t="s">
        <v>46</v>
      </c>
      <c r="H61" s="94"/>
      <c r="I61" s="95">
        <v>45082</v>
      </c>
      <c r="J61" s="94"/>
      <c r="K61" s="94" t="s">
        <v>167</v>
      </c>
      <c r="L61" s="94"/>
      <c r="M61" s="94" t="s">
        <v>41</v>
      </c>
      <c r="N61" s="94"/>
      <c r="O61" s="94" t="s">
        <v>125</v>
      </c>
      <c r="P61" s="94"/>
      <c r="Q61" s="97"/>
      <c r="R61" s="94"/>
      <c r="S61" s="97">
        <v>344190</v>
      </c>
      <c r="T61" s="94"/>
      <c r="U61" s="97">
        <v>-2300000</v>
      </c>
    </row>
    <row r="62" spans="1:21" ht="15.75" thickBot="1">
      <c r="A62" s="96"/>
      <c r="B62" s="96"/>
      <c r="C62" s="96"/>
      <c r="D62" s="96" t="s">
        <v>124</v>
      </c>
      <c r="E62" s="96"/>
      <c r="F62" s="96"/>
      <c r="G62" s="94"/>
      <c r="H62" s="94"/>
      <c r="I62" s="95"/>
      <c r="J62" s="94"/>
      <c r="K62" s="94"/>
      <c r="L62" s="94"/>
      <c r="M62" s="94"/>
      <c r="N62" s="94"/>
      <c r="O62" s="94"/>
      <c r="P62" s="94"/>
      <c r="Q62" s="93">
        <f>ROUND(SUM(Q52:Q61),5)</f>
        <v>0</v>
      </c>
      <c r="R62" s="94"/>
      <c r="S62" s="93">
        <f>ROUND(SUM(S52:S61),5)</f>
        <v>2300000</v>
      </c>
      <c r="T62" s="94"/>
      <c r="U62" s="93">
        <f>U61</f>
        <v>-2300000</v>
      </c>
    </row>
    <row r="63" spans="1:21" ht="15.75" thickBot="1">
      <c r="A63" s="96"/>
      <c r="B63" s="96"/>
      <c r="C63" s="96" t="s">
        <v>123</v>
      </c>
      <c r="D63" s="96"/>
      <c r="E63" s="96"/>
      <c r="F63" s="96"/>
      <c r="G63" s="94"/>
      <c r="H63" s="94"/>
      <c r="I63" s="95"/>
      <c r="J63" s="94"/>
      <c r="K63" s="94"/>
      <c r="L63" s="94"/>
      <c r="M63" s="94"/>
      <c r="N63" s="94"/>
      <c r="O63" s="94"/>
      <c r="P63" s="94"/>
      <c r="Q63" s="93">
        <f>Q62</f>
        <v>0</v>
      </c>
      <c r="R63" s="94"/>
      <c r="S63" s="93">
        <f>S62</f>
        <v>2300000</v>
      </c>
      <c r="T63" s="94"/>
      <c r="U63" s="93">
        <f>U62</f>
        <v>-2300000</v>
      </c>
    </row>
    <row r="64" spans="1:21" ht="15.75" thickBot="1">
      <c r="A64" s="96"/>
      <c r="B64" s="96" t="s">
        <v>122</v>
      </c>
      <c r="C64" s="96"/>
      <c r="D64" s="96"/>
      <c r="E64" s="96"/>
      <c r="F64" s="96"/>
      <c r="G64" s="94"/>
      <c r="H64" s="94"/>
      <c r="I64" s="95"/>
      <c r="J64" s="94"/>
      <c r="K64" s="94"/>
      <c r="L64" s="94"/>
      <c r="M64" s="94"/>
      <c r="N64" s="94"/>
      <c r="O64" s="94"/>
      <c r="P64" s="94"/>
      <c r="Q64" s="93">
        <f>Q63</f>
        <v>0</v>
      </c>
      <c r="R64" s="94"/>
      <c r="S64" s="93">
        <f>S63</f>
        <v>2300000</v>
      </c>
      <c r="T64" s="94"/>
      <c r="U64" s="93">
        <f>U63</f>
        <v>-2300000</v>
      </c>
    </row>
    <row r="65" spans="1:21" s="88" customFormat="1" ht="13.5" thickBot="1">
      <c r="A65" s="92" t="s">
        <v>121</v>
      </c>
      <c r="B65" s="92"/>
      <c r="C65" s="92"/>
      <c r="D65" s="92"/>
      <c r="E65" s="92"/>
      <c r="F65" s="92"/>
      <c r="G65" s="90"/>
      <c r="H65" s="90"/>
      <c r="I65" s="91"/>
      <c r="J65" s="90"/>
      <c r="K65" s="90"/>
      <c r="L65" s="90"/>
      <c r="M65" s="90"/>
      <c r="N65" s="90"/>
      <c r="O65" s="90"/>
      <c r="P65" s="90"/>
      <c r="Q65" s="89">
        <f>ROUND(Q20+Q37+Q49+Q64,5)</f>
        <v>2674762</v>
      </c>
      <c r="R65" s="90"/>
      <c r="S65" s="89">
        <f>ROUND(S20+S37+S49+S64,5)</f>
        <v>4728362.5</v>
      </c>
      <c r="T65" s="90"/>
      <c r="U65" s="89">
        <f>ROUND(U20+U37+U49+U64,5)</f>
        <v>-2053600.5</v>
      </c>
    </row>
    <row r="66" spans="1:21" ht="15.75" thickTop="1"/>
  </sheetData>
  <pageMargins left="0.7" right="0.7" top="0.75" bottom="0.75" header="0.1" footer="0.3"/>
  <pageSetup orientation="portrait" r:id="rId1"/>
  <headerFooter>
    <oddHeader>&amp;L&amp;"Arial,Bold"&amp;10 9:39 AM
&amp;"Arial,Bold"&amp;10 08-01-23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5122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180975</xdr:colOff>
                <xdr:row>1</xdr:row>
                <xdr:rowOff>28575</xdr:rowOff>
              </to>
            </anchor>
          </controlPr>
        </control>
      </mc:Choice>
      <mc:Fallback>
        <control shapeId="5122" r:id="rId4" name="HEADER"/>
      </mc:Fallback>
    </mc:AlternateContent>
    <mc:AlternateContent xmlns:mc="http://schemas.openxmlformats.org/markup-compatibility/2006">
      <mc:Choice Requires="x14">
        <control shapeId="5121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180975</xdr:colOff>
                <xdr:row>1</xdr:row>
                <xdr:rowOff>28575</xdr:rowOff>
              </to>
            </anchor>
          </controlPr>
        </control>
      </mc:Choice>
      <mc:Fallback>
        <control shapeId="5121" r:id="rId6" name="FILTER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U48"/>
  <sheetViews>
    <sheetView workbookViewId="0">
      <pane xSplit="4" ySplit="1" topLeftCell="N2" activePane="bottomRight" state="frozenSplit"/>
      <selection pane="topRight" activeCell="E1" sqref="E1"/>
      <selection pane="bottomLeft" activeCell="A2" sqref="A2"/>
      <selection pane="bottomRight" activeCell="Q9" sqref="Q9"/>
    </sheetView>
  </sheetViews>
  <sheetFormatPr defaultRowHeight="15"/>
  <cols>
    <col min="1" max="1" width="3" style="87" customWidth="1"/>
    <col min="2" max="6" width="1.85546875" style="87" customWidth="1"/>
    <col min="7" max="7" width="5.5703125" customWidth="1"/>
    <col min="8" max="8" width="2.28515625" customWidth="1"/>
    <col min="9" max="9" width="10.140625" bestFit="1" customWidth="1"/>
    <col min="10" max="10" width="2.28515625" customWidth="1"/>
    <col min="11" max="11" width="6" bestFit="1" customWidth="1"/>
    <col min="12" max="12" width="2.28515625" customWidth="1"/>
    <col min="13" max="13" width="40.7109375" bestFit="1" customWidth="1"/>
    <col min="14" max="14" width="2.28515625" customWidth="1"/>
    <col min="15" max="15" width="55.140625" bestFit="1" customWidth="1"/>
    <col min="16" max="16" width="2.28515625" customWidth="1"/>
    <col min="17" max="17" width="12.85546875" style="105" bestFit="1" customWidth="1"/>
    <col min="18" max="18" width="2.28515625" style="105" customWidth="1"/>
    <col min="19" max="19" width="12.85546875" style="105" bestFit="1" customWidth="1"/>
    <col min="20" max="20" width="2.28515625" style="105" customWidth="1"/>
    <col min="21" max="21" width="13.5703125" style="105" bestFit="1" customWidth="1"/>
  </cols>
  <sheetData>
    <row r="1" spans="1:21" s="101" customFormat="1" ht="15.75" thickBot="1">
      <c r="A1" s="104"/>
      <c r="B1" s="104"/>
      <c r="C1" s="104"/>
      <c r="D1" s="104"/>
      <c r="E1" s="104"/>
      <c r="F1" s="104"/>
      <c r="G1" s="102" t="s">
        <v>97</v>
      </c>
      <c r="H1" s="103"/>
      <c r="I1" s="102" t="s">
        <v>96</v>
      </c>
      <c r="J1" s="103"/>
      <c r="K1" s="102" t="s">
        <v>95</v>
      </c>
      <c r="L1" s="103"/>
      <c r="M1" s="102" t="s">
        <v>93</v>
      </c>
      <c r="N1" s="103"/>
      <c r="O1" s="102" t="s">
        <v>92</v>
      </c>
      <c r="P1" s="103"/>
      <c r="Q1" s="113" t="s">
        <v>91</v>
      </c>
      <c r="R1" s="114"/>
      <c r="S1" s="113" t="s">
        <v>90</v>
      </c>
      <c r="T1" s="114"/>
      <c r="U1" s="113" t="s">
        <v>31</v>
      </c>
    </row>
    <row r="2" spans="1:21" ht="15.75" thickTop="1">
      <c r="A2" s="92"/>
      <c r="B2" s="92" t="s">
        <v>166</v>
      </c>
      <c r="C2" s="92"/>
      <c r="D2" s="92"/>
      <c r="E2" s="92"/>
      <c r="F2" s="92"/>
      <c r="G2" s="90"/>
      <c r="H2" s="90"/>
      <c r="I2" s="91"/>
      <c r="J2" s="90"/>
      <c r="K2" s="90"/>
      <c r="L2" s="90"/>
      <c r="M2" s="90"/>
      <c r="N2" s="90"/>
      <c r="O2" s="90"/>
      <c r="P2" s="90"/>
      <c r="Q2" s="107"/>
      <c r="R2" s="107"/>
      <c r="S2" s="107"/>
      <c r="T2" s="107"/>
      <c r="U2" s="107"/>
    </row>
    <row r="3" spans="1:21">
      <c r="A3" s="96"/>
      <c r="B3" s="96"/>
      <c r="C3" s="96"/>
      <c r="D3" s="96"/>
      <c r="E3" s="96"/>
      <c r="F3" s="96"/>
      <c r="G3" s="94" t="s">
        <v>80</v>
      </c>
      <c r="H3" s="94"/>
      <c r="I3" s="95">
        <v>44678</v>
      </c>
      <c r="J3" s="94"/>
      <c r="K3" s="94" t="s">
        <v>219</v>
      </c>
      <c r="L3" s="94"/>
      <c r="M3" s="94" t="s">
        <v>52</v>
      </c>
      <c r="N3" s="94"/>
      <c r="O3" s="94" t="s">
        <v>81</v>
      </c>
      <c r="P3" s="94"/>
      <c r="Q3" s="109"/>
      <c r="R3" s="109"/>
      <c r="S3" s="109">
        <v>100000</v>
      </c>
      <c r="T3" s="109"/>
      <c r="U3" s="109">
        <v>-100000</v>
      </c>
    </row>
    <row r="4" spans="1:21">
      <c r="A4" s="96"/>
      <c r="B4" s="96"/>
      <c r="C4" s="96"/>
      <c r="D4" s="96"/>
      <c r="E4" s="96"/>
      <c r="F4" s="96"/>
      <c r="G4" s="94" t="s">
        <v>80</v>
      </c>
      <c r="H4" s="94"/>
      <c r="I4" s="95">
        <v>44691</v>
      </c>
      <c r="J4" s="94"/>
      <c r="K4" s="94" t="s">
        <v>218</v>
      </c>
      <c r="L4" s="94"/>
      <c r="M4" s="94" t="s">
        <v>52</v>
      </c>
      <c r="N4" s="94"/>
      <c r="O4" s="94" t="s">
        <v>79</v>
      </c>
      <c r="P4" s="94"/>
      <c r="Q4" s="109"/>
      <c r="R4" s="109"/>
      <c r="S4" s="109">
        <v>100000</v>
      </c>
      <c r="T4" s="109"/>
      <c r="U4" s="109">
        <v>-200000</v>
      </c>
    </row>
    <row r="5" spans="1:21">
      <c r="A5" s="96"/>
      <c r="B5" s="96"/>
      <c r="C5" s="96"/>
      <c r="D5" s="96"/>
      <c r="E5" s="96"/>
      <c r="F5" s="96"/>
      <c r="G5" s="94" t="s">
        <v>46</v>
      </c>
      <c r="H5" s="94"/>
      <c r="I5" s="95">
        <v>44694</v>
      </c>
      <c r="J5" s="94"/>
      <c r="K5" s="94" t="s">
        <v>208</v>
      </c>
      <c r="L5" s="94"/>
      <c r="M5" s="94" t="s">
        <v>52</v>
      </c>
      <c r="N5" s="94"/>
      <c r="O5" s="94" t="s">
        <v>76</v>
      </c>
      <c r="P5" s="94"/>
      <c r="Q5" s="109">
        <v>321528.90000000002</v>
      </c>
      <c r="R5" s="109"/>
      <c r="S5" s="109"/>
      <c r="T5" s="109"/>
      <c r="U5" s="109">
        <v>121528.9</v>
      </c>
    </row>
    <row r="6" spans="1:21">
      <c r="A6" s="96"/>
      <c r="B6" s="96"/>
      <c r="C6" s="96"/>
      <c r="D6" s="96"/>
      <c r="E6" s="96"/>
      <c r="F6" s="96"/>
      <c r="G6" s="94" t="s">
        <v>42</v>
      </c>
      <c r="H6" s="94"/>
      <c r="I6" s="95">
        <v>44728</v>
      </c>
      <c r="J6" s="94"/>
      <c r="K6" s="94" t="s">
        <v>217</v>
      </c>
      <c r="L6" s="94"/>
      <c r="M6" s="94" t="s">
        <v>52</v>
      </c>
      <c r="N6" s="94"/>
      <c r="O6" s="94" t="s">
        <v>216</v>
      </c>
      <c r="P6" s="94"/>
      <c r="Q6" s="109"/>
      <c r="R6" s="109"/>
      <c r="S6" s="109">
        <v>121528.9</v>
      </c>
      <c r="T6" s="109"/>
      <c r="U6" s="109">
        <v>0</v>
      </c>
    </row>
    <row r="7" spans="1:21">
      <c r="A7" s="96"/>
      <c r="B7" s="96"/>
      <c r="C7" s="96"/>
      <c r="D7" s="96"/>
      <c r="E7" s="96"/>
      <c r="F7" s="96"/>
      <c r="G7" s="94" t="s">
        <v>46</v>
      </c>
      <c r="H7" s="94"/>
      <c r="I7" s="95">
        <v>44732</v>
      </c>
      <c r="J7" s="94"/>
      <c r="K7" s="94" t="s">
        <v>206</v>
      </c>
      <c r="L7" s="94"/>
      <c r="M7" s="94" t="s">
        <v>52</v>
      </c>
      <c r="N7" s="94"/>
      <c r="O7" s="94" t="s">
        <v>69</v>
      </c>
      <c r="P7" s="94"/>
      <c r="Q7" s="109">
        <v>254806.86</v>
      </c>
      <c r="R7" s="109"/>
      <c r="S7" s="109"/>
      <c r="T7" s="109"/>
      <c r="U7" s="109">
        <v>254806.86</v>
      </c>
    </row>
    <row r="8" spans="1:21">
      <c r="A8" s="96"/>
      <c r="B8" s="96"/>
      <c r="C8" s="96"/>
      <c r="D8" s="96"/>
      <c r="E8" s="96"/>
      <c r="F8" s="96"/>
      <c r="G8" s="94" t="s">
        <v>42</v>
      </c>
      <c r="H8" s="94"/>
      <c r="I8" s="95">
        <v>44762</v>
      </c>
      <c r="J8" s="94"/>
      <c r="K8" s="94" t="s">
        <v>215</v>
      </c>
      <c r="L8" s="94"/>
      <c r="M8" s="94" t="s">
        <v>52</v>
      </c>
      <c r="N8" s="94"/>
      <c r="O8" s="94" t="s">
        <v>214</v>
      </c>
      <c r="P8" s="94"/>
      <c r="Q8" s="109"/>
      <c r="R8" s="109"/>
      <c r="S8" s="109">
        <v>254806.86</v>
      </c>
      <c r="T8" s="109"/>
      <c r="U8" s="109">
        <v>0</v>
      </c>
    </row>
    <row r="9" spans="1:21">
      <c r="A9" s="96"/>
      <c r="B9" s="96"/>
      <c r="C9" s="96"/>
      <c r="D9" s="96"/>
      <c r="E9" s="96"/>
      <c r="F9" s="96"/>
      <c r="G9" s="94" t="s">
        <v>46</v>
      </c>
      <c r="H9" s="94"/>
      <c r="I9" s="95">
        <v>44782</v>
      </c>
      <c r="J9" s="94"/>
      <c r="K9" s="94" t="s">
        <v>204</v>
      </c>
      <c r="L9" s="94"/>
      <c r="M9" s="94" t="s">
        <v>52</v>
      </c>
      <c r="N9" s="94"/>
      <c r="O9" s="94" t="s">
        <v>60</v>
      </c>
      <c r="P9" s="94"/>
      <c r="Q9" s="109">
        <v>380127.67</v>
      </c>
      <c r="R9" s="109"/>
      <c r="S9" s="109"/>
      <c r="T9" s="109"/>
      <c r="U9" s="109">
        <v>380127.67</v>
      </c>
    </row>
    <row r="10" spans="1:21">
      <c r="A10" s="96"/>
      <c r="B10" s="96"/>
      <c r="C10" s="96"/>
      <c r="D10" s="96"/>
      <c r="E10" s="96"/>
      <c r="F10" s="96"/>
      <c r="G10" s="94" t="s">
        <v>46</v>
      </c>
      <c r="H10" s="94"/>
      <c r="I10" s="95">
        <v>44819</v>
      </c>
      <c r="J10" s="94"/>
      <c r="K10" s="94" t="s">
        <v>200</v>
      </c>
      <c r="L10" s="94"/>
      <c r="M10" s="94" t="s">
        <v>52</v>
      </c>
      <c r="N10" s="94"/>
      <c r="O10" s="94" t="s">
        <v>56</v>
      </c>
      <c r="P10" s="94"/>
      <c r="Q10" s="109">
        <v>294906.21999999997</v>
      </c>
      <c r="R10" s="109"/>
      <c r="S10" s="109"/>
      <c r="T10" s="109"/>
      <c r="U10" s="109">
        <v>675033.89</v>
      </c>
    </row>
    <row r="11" spans="1:21">
      <c r="A11" s="96"/>
      <c r="B11" s="96"/>
      <c r="C11" s="96"/>
      <c r="D11" s="96"/>
      <c r="E11" s="96"/>
      <c r="F11" s="96"/>
      <c r="G11" s="94" t="s">
        <v>42</v>
      </c>
      <c r="H11" s="94"/>
      <c r="I11" s="95">
        <v>44819</v>
      </c>
      <c r="J11" s="94"/>
      <c r="K11" s="94" t="s">
        <v>209</v>
      </c>
      <c r="L11" s="94"/>
      <c r="M11" s="94" t="s">
        <v>52</v>
      </c>
      <c r="N11" s="94"/>
      <c r="O11" s="94" t="s">
        <v>55</v>
      </c>
      <c r="P11" s="94"/>
      <c r="Q11" s="109">
        <v>156421.21</v>
      </c>
      <c r="R11" s="109"/>
      <c r="S11" s="109"/>
      <c r="T11" s="109"/>
      <c r="U11" s="109">
        <v>831455.1</v>
      </c>
    </row>
    <row r="12" spans="1:21">
      <c r="A12" s="96"/>
      <c r="B12" s="96"/>
      <c r="C12" s="96"/>
      <c r="D12" s="96"/>
      <c r="E12" s="96"/>
      <c r="F12" s="96"/>
      <c r="G12" s="94" t="s">
        <v>42</v>
      </c>
      <c r="H12" s="94"/>
      <c r="I12" s="95">
        <v>44832</v>
      </c>
      <c r="J12" s="94"/>
      <c r="K12" s="94" t="s">
        <v>213</v>
      </c>
      <c r="L12" s="94"/>
      <c r="M12" s="94" t="s">
        <v>52</v>
      </c>
      <c r="N12" s="94"/>
      <c r="O12" s="94" t="s">
        <v>212</v>
      </c>
      <c r="P12" s="94"/>
      <c r="Q12" s="109"/>
      <c r="R12" s="109"/>
      <c r="S12" s="109">
        <v>380127.67</v>
      </c>
      <c r="T12" s="109"/>
      <c r="U12" s="109">
        <v>451327.43</v>
      </c>
    </row>
    <row r="13" spans="1:21">
      <c r="A13" s="96"/>
      <c r="B13" s="96"/>
      <c r="C13" s="96"/>
      <c r="D13" s="96"/>
      <c r="E13" s="96"/>
      <c r="F13" s="96"/>
      <c r="G13" s="94" t="s">
        <v>42</v>
      </c>
      <c r="H13" s="94"/>
      <c r="I13" s="95">
        <v>44866</v>
      </c>
      <c r="J13" s="94"/>
      <c r="K13" s="94" t="s">
        <v>211</v>
      </c>
      <c r="L13" s="94"/>
      <c r="M13" s="94" t="s">
        <v>52</v>
      </c>
      <c r="N13" s="94"/>
      <c r="O13" s="94" t="s">
        <v>210</v>
      </c>
      <c r="P13" s="94"/>
      <c r="Q13" s="109"/>
      <c r="R13" s="109"/>
      <c r="S13" s="109">
        <v>450248.65</v>
      </c>
      <c r="T13" s="109"/>
      <c r="U13" s="109">
        <v>1078.78</v>
      </c>
    </row>
    <row r="14" spans="1:21" ht="15.75" thickBot="1">
      <c r="A14" s="96"/>
      <c r="B14" s="96"/>
      <c r="C14" s="96"/>
      <c r="D14" s="96"/>
      <c r="E14" s="96"/>
      <c r="F14" s="96"/>
      <c r="G14" s="94" t="s">
        <v>80</v>
      </c>
      <c r="H14" s="94"/>
      <c r="I14" s="95">
        <v>45061</v>
      </c>
      <c r="J14" s="94"/>
      <c r="K14" s="94" t="s">
        <v>152</v>
      </c>
      <c r="L14" s="94"/>
      <c r="M14" s="94" t="s">
        <v>52</v>
      </c>
      <c r="N14" s="94"/>
      <c r="O14" s="94" t="s">
        <v>151</v>
      </c>
      <c r="P14" s="94"/>
      <c r="Q14" s="112"/>
      <c r="R14" s="109"/>
      <c r="S14" s="112">
        <v>1078.78</v>
      </c>
      <c r="T14" s="109"/>
      <c r="U14" s="112">
        <v>0</v>
      </c>
    </row>
    <row r="15" spans="1:21" s="100" customFormat="1">
      <c r="A15" s="92"/>
      <c r="B15" s="92" t="s">
        <v>149</v>
      </c>
      <c r="C15" s="92"/>
      <c r="D15" s="92"/>
      <c r="E15" s="92"/>
      <c r="F15" s="92"/>
      <c r="G15" s="90"/>
      <c r="H15" s="90"/>
      <c r="I15" s="91"/>
      <c r="J15" s="90"/>
      <c r="K15" s="90"/>
      <c r="L15" s="90"/>
      <c r="M15" s="90"/>
      <c r="N15" s="90"/>
      <c r="O15" s="90"/>
      <c r="P15" s="90"/>
      <c r="Q15" s="107">
        <v>1407790.86</v>
      </c>
      <c r="R15" s="107"/>
      <c r="S15" s="107">
        <v>1407790.86</v>
      </c>
      <c r="T15" s="107"/>
      <c r="U15" s="107">
        <v>0</v>
      </c>
    </row>
    <row r="16" spans="1:21">
      <c r="A16" s="92"/>
      <c r="B16" s="92" t="s">
        <v>148</v>
      </c>
      <c r="C16" s="92"/>
      <c r="D16" s="92"/>
      <c r="E16" s="92"/>
      <c r="F16" s="92"/>
      <c r="G16" s="90"/>
      <c r="H16" s="90"/>
      <c r="I16" s="91"/>
      <c r="J16" s="90"/>
      <c r="K16" s="90"/>
      <c r="L16" s="90"/>
      <c r="M16" s="90"/>
      <c r="N16" s="90"/>
      <c r="O16" s="90"/>
      <c r="P16" s="90"/>
      <c r="Q16" s="107"/>
      <c r="R16" s="107"/>
      <c r="S16" s="107"/>
      <c r="T16" s="107"/>
      <c r="U16" s="107"/>
    </row>
    <row r="17" spans="1:21">
      <c r="A17" s="96"/>
      <c r="B17" s="96"/>
      <c r="C17" s="96"/>
      <c r="D17" s="96"/>
      <c r="E17" s="96"/>
      <c r="F17" s="96"/>
      <c r="G17" s="94" t="s">
        <v>46</v>
      </c>
      <c r="H17" s="94"/>
      <c r="I17" s="95">
        <v>44694</v>
      </c>
      <c r="J17" s="94"/>
      <c r="K17" s="94" t="s">
        <v>208</v>
      </c>
      <c r="L17" s="94"/>
      <c r="M17" s="94" t="s">
        <v>52</v>
      </c>
      <c r="N17" s="94"/>
      <c r="O17" s="94" t="s">
        <v>143</v>
      </c>
      <c r="P17" s="94"/>
      <c r="Q17" s="109">
        <v>38277.25</v>
      </c>
      <c r="R17" s="109"/>
      <c r="S17" s="109"/>
      <c r="T17" s="109"/>
      <c r="U17" s="109">
        <v>38277.25</v>
      </c>
    </row>
    <row r="18" spans="1:21">
      <c r="A18" s="96"/>
      <c r="B18" s="96"/>
      <c r="C18" s="96"/>
      <c r="D18" s="96"/>
      <c r="E18" s="96"/>
      <c r="F18" s="96"/>
      <c r="G18" s="94" t="s">
        <v>46</v>
      </c>
      <c r="H18" s="94"/>
      <c r="I18" s="95">
        <v>44694</v>
      </c>
      <c r="J18" s="94"/>
      <c r="K18" s="94" t="s">
        <v>208</v>
      </c>
      <c r="L18" s="94"/>
      <c r="M18" s="94" t="s">
        <v>52</v>
      </c>
      <c r="N18" s="94"/>
      <c r="O18" s="94" t="s">
        <v>147</v>
      </c>
      <c r="P18" s="94"/>
      <c r="Q18" s="109">
        <v>38277.25</v>
      </c>
      <c r="R18" s="109"/>
      <c r="S18" s="109"/>
      <c r="T18" s="109"/>
      <c r="U18" s="109">
        <v>76554.5</v>
      </c>
    </row>
    <row r="19" spans="1:21">
      <c r="A19" s="96"/>
      <c r="B19" s="96"/>
      <c r="C19" s="96"/>
      <c r="D19" s="96"/>
      <c r="E19" s="96"/>
      <c r="F19" s="96"/>
      <c r="G19" s="94" t="s">
        <v>46</v>
      </c>
      <c r="H19" s="94"/>
      <c r="I19" s="95">
        <v>44732</v>
      </c>
      <c r="J19" s="94"/>
      <c r="K19" s="94" t="s">
        <v>206</v>
      </c>
      <c r="L19" s="94"/>
      <c r="M19" s="94" t="s">
        <v>52</v>
      </c>
      <c r="N19" s="94"/>
      <c r="O19" s="94" t="s">
        <v>143</v>
      </c>
      <c r="P19" s="94"/>
      <c r="Q19" s="109">
        <v>30334.15</v>
      </c>
      <c r="R19" s="109"/>
      <c r="S19" s="109"/>
      <c r="T19" s="109"/>
      <c r="U19" s="109">
        <v>106888.65</v>
      </c>
    </row>
    <row r="20" spans="1:21">
      <c r="A20" s="96"/>
      <c r="B20" s="96"/>
      <c r="C20" s="96"/>
      <c r="D20" s="96"/>
      <c r="E20" s="96"/>
      <c r="F20" s="96"/>
      <c r="G20" s="94" t="s">
        <v>46</v>
      </c>
      <c r="H20" s="94"/>
      <c r="I20" s="95">
        <v>44732</v>
      </c>
      <c r="J20" s="94"/>
      <c r="K20" s="94" t="s">
        <v>206</v>
      </c>
      <c r="L20" s="94"/>
      <c r="M20" s="94" t="s">
        <v>52</v>
      </c>
      <c r="N20" s="94"/>
      <c r="O20" s="94" t="s">
        <v>146</v>
      </c>
      <c r="P20" s="94"/>
      <c r="Q20" s="109">
        <v>30334.15</v>
      </c>
      <c r="R20" s="109"/>
      <c r="S20" s="109"/>
      <c r="T20" s="109"/>
      <c r="U20" s="109">
        <v>137222.79999999999</v>
      </c>
    </row>
    <row r="21" spans="1:21">
      <c r="A21" s="96"/>
      <c r="B21" s="96"/>
      <c r="C21" s="96"/>
      <c r="D21" s="96"/>
      <c r="E21" s="96"/>
      <c r="F21" s="96"/>
      <c r="G21" s="94" t="s">
        <v>46</v>
      </c>
      <c r="H21" s="94"/>
      <c r="I21" s="95">
        <v>44782</v>
      </c>
      <c r="J21" s="94"/>
      <c r="K21" s="94" t="s">
        <v>204</v>
      </c>
      <c r="L21" s="94"/>
      <c r="M21" s="94" t="s">
        <v>52</v>
      </c>
      <c r="N21" s="94"/>
      <c r="O21" s="94" t="s">
        <v>143</v>
      </c>
      <c r="P21" s="94"/>
      <c r="Q21" s="109">
        <v>45253.3</v>
      </c>
      <c r="R21" s="109"/>
      <c r="S21" s="109"/>
      <c r="T21" s="109"/>
      <c r="U21" s="109">
        <v>182476.1</v>
      </c>
    </row>
    <row r="22" spans="1:21">
      <c r="A22" s="96"/>
      <c r="B22" s="96"/>
      <c r="C22" s="96"/>
      <c r="D22" s="96"/>
      <c r="E22" s="96"/>
      <c r="F22" s="96"/>
      <c r="G22" s="94" t="s">
        <v>46</v>
      </c>
      <c r="H22" s="94"/>
      <c r="I22" s="95">
        <v>44782</v>
      </c>
      <c r="J22" s="94"/>
      <c r="K22" s="94" t="s">
        <v>204</v>
      </c>
      <c r="L22" s="94"/>
      <c r="M22" s="94" t="s">
        <v>52</v>
      </c>
      <c r="N22" s="94"/>
      <c r="O22" s="94" t="s">
        <v>145</v>
      </c>
      <c r="P22" s="94"/>
      <c r="Q22" s="109">
        <v>45253.3</v>
      </c>
      <c r="R22" s="109"/>
      <c r="S22" s="109"/>
      <c r="T22" s="109"/>
      <c r="U22" s="109">
        <v>227729.4</v>
      </c>
    </row>
    <row r="23" spans="1:21">
      <c r="A23" s="96"/>
      <c r="B23" s="96"/>
      <c r="C23" s="96"/>
      <c r="D23" s="96"/>
      <c r="E23" s="96"/>
      <c r="F23" s="96"/>
      <c r="G23" s="94" t="s">
        <v>46</v>
      </c>
      <c r="H23" s="94"/>
      <c r="I23" s="95">
        <v>44819</v>
      </c>
      <c r="J23" s="94"/>
      <c r="K23" s="94" t="s">
        <v>200</v>
      </c>
      <c r="L23" s="94"/>
      <c r="M23" s="94" t="s">
        <v>52</v>
      </c>
      <c r="N23" s="94"/>
      <c r="O23" s="94" t="s">
        <v>143</v>
      </c>
      <c r="P23" s="94"/>
      <c r="Q23" s="109">
        <v>35107.89</v>
      </c>
      <c r="R23" s="109"/>
      <c r="S23" s="109"/>
      <c r="T23" s="109"/>
      <c r="U23" s="109">
        <v>262837.28999999998</v>
      </c>
    </row>
    <row r="24" spans="1:21">
      <c r="A24" s="96"/>
      <c r="B24" s="96"/>
      <c r="C24" s="96"/>
      <c r="D24" s="96"/>
      <c r="E24" s="96"/>
      <c r="F24" s="96"/>
      <c r="G24" s="94" t="s">
        <v>46</v>
      </c>
      <c r="H24" s="94"/>
      <c r="I24" s="95">
        <v>44819</v>
      </c>
      <c r="J24" s="94"/>
      <c r="K24" s="94" t="s">
        <v>200</v>
      </c>
      <c r="L24" s="94"/>
      <c r="M24" s="94" t="s">
        <v>52</v>
      </c>
      <c r="N24" s="94"/>
      <c r="O24" s="94" t="s">
        <v>144</v>
      </c>
      <c r="P24" s="94"/>
      <c r="Q24" s="109">
        <v>35107.89</v>
      </c>
      <c r="R24" s="109"/>
      <c r="S24" s="109"/>
      <c r="T24" s="109"/>
      <c r="U24" s="109">
        <v>297945.18</v>
      </c>
    </row>
    <row r="25" spans="1:21" ht="15.75" thickBot="1">
      <c r="A25" s="96"/>
      <c r="B25" s="96"/>
      <c r="C25" s="96"/>
      <c r="D25" s="96"/>
      <c r="E25" s="96"/>
      <c r="F25" s="96"/>
      <c r="G25" s="94" t="s">
        <v>42</v>
      </c>
      <c r="H25" s="94"/>
      <c r="I25" s="95">
        <v>44819</v>
      </c>
      <c r="J25" s="94"/>
      <c r="K25" s="94" t="s">
        <v>209</v>
      </c>
      <c r="L25" s="94"/>
      <c r="M25" s="94" t="s">
        <v>52</v>
      </c>
      <c r="N25" s="94"/>
      <c r="O25" s="94" t="s">
        <v>55</v>
      </c>
      <c r="P25" s="94"/>
      <c r="Q25" s="112"/>
      <c r="R25" s="109"/>
      <c r="S25" s="112">
        <v>148972.57999999999</v>
      </c>
      <c r="T25" s="109"/>
      <c r="U25" s="112">
        <v>148972.6</v>
      </c>
    </row>
    <row r="26" spans="1:21">
      <c r="A26" s="96"/>
      <c r="B26" s="96" t="s">
        <v>141</v>
      </c>
      <c r="C26" s="96"/>
      <c r="D26" s="96"/>
      <c r="E26" s="96"/>
      <c r="F26" s="96"/>
      <c r="G26" s="94"/>
      <c r="H26" s="94"/>
      <c r="I26" s="95"/>
      <c r="J26" s="94"/>
      <c r="K26" s="94"/>
      <c r="L26" s="94"/>
      <c r="M26" s="94"/>
      <c r="N26" s="94"/>
      <c r="O26" s="94"/>
      <c r="P26" s="94"/>
      <c r="Q26" s="109">
        <f>ROUND(SUM(Q16:Q25),5)</f>
        <v>297945.18</v>
      </c>
      <c r="R26" s="109"/>
      <c r="S26" s="109">
        <f>ROUND(SUM(S16:S25),5)</f>
        <v>148972.57999999999</v>
      </c>
      <c r="T26" s="109"/>
      <c r="U26" s="109">
        <f>U25</f>
        <v>148972.6</v>
      </c>
    </row>
    <row r="27" spans="1:21">
      <c r="A27" s="92"/>
      <c r="B27" s="92" t="s">
        <v>140</v>
      </c>
      <c r="C27" s="92"/>
      <c r="D27" s="92"/>
      <c r="E27" s="92"/>
      <c r="F27" s="92"/>
      <c r="G27" s="90"/>
      <c r="H27" s="90"/>
      <c r="I27" s="91"/>
      <c r="J27" s="90"/>
      <c r="K27" s="90"/>
      <c r="L27" s="90"/>
      <c r="M27" s="90"/>
      <c r="N27" s="90"/>
      <c r="O27" s="90"/>
      <c r="P27" s="90"/>
      <c r="Q27" s="107"/>
      <c r="R27" s="107"/>
      <c r="S27" s="107"/>
      <c r="T27" s="107"/>
      <c r="U27" s="107"/>
    </row>
    <row r="28" spans="1:21">
      <c r="A28" s="96"/>
      <c r="B28" s="96"/>
      <c r="C28" s="96"/>
      <c r="D28" s="96"/>
      <c r="E28" s="96"/>
      <c r="F28" s="96"/>
      <c r="G28" s="94" t="s">
        <v>46</v>
      </c>
      <c r="H28" s="94"/>
      <c r="I28" s="95">
        <v>44694</v>
      </c>
      <c r="J28" s="94"/>
      <c r="K28" s="94" t="s">
        <v>208</v>
      </c>
      <c r="L28" s="94"/>
      <c r="M28" s="94" t="s">
        <v>52</v>
      </c>
      <c r="N28" s="94"/>
      <c r="O28" s="94" t="s">
        <v>139</v>
      </c>
      <c r="P28" s="94"/>
      <c r="Q28" s="109"/>
      <c r="R28" s="109"/>
      <c r="S28" s="109">
        <v>15310.9</v>
      </c>
      <c r="T28" s="109"/>
      <c r="U28" s="109">
        <v>-15310.9</v>
      </c>
    </row>
    <row r="29" spans="1:21">
      <c r="A29" s="96"/>
      <c r="B29" s="96"/>
      <c r="C29" s="96"/>
      <c r="D29" s="96"/>
      <c r="E29" s="96"/>
      <c r="F29" s="96"/>
      <c r="G29" s="94" t="s">
        <v>46</v>
      </c>
      <c r="H29" s="94"/>
      <c r="I29" s="95">
        <v>44732</v>
      </c>
      <c r="J29" s="94"/>
      <c r="K29" s="94" t="s">
        <v>206</v>
      </c>
      <c r="L29" s="94"/>
      <c r="M29" s="94" t="s">
        <v>52</v>
      </c>
      <c r="N29" s="94"/>
      <c r="O29" s="94" t="s">
        <v>139</v>
      </c>
      <c r="P29" s="94"/>
      <c r="Q29" s="109"/>
      <c r="R29" s="109"/>
      <c r="S29" s="109">
        <v>12133.66</v>
      </c>
      <c r="T29" s="109"/>
      <c r="U29" s="109">
        <v>-27444.560000000001</v>
      </c>
    </row>
    <row r="30" spans="1:21">
      <c r="A30" s="96"/>
      <c r="B30" s="96"/>
      <c r="C30" s="96"/>
      <c r="D30" s="96"/>
      <c r="E30" s="96"/>
      <c r="F30" s="96"/>
      <c r="G30" s="94" t="s">
        <v>46</v>
      </c>
      <c r="H30" s="94"/>
      <c r="I30" s="95">
        <v>44782</v>
      </c>
      <c r="J30" s="94"/>
      <c r="K30" s="94" t="s">
        <v>204</v>
      </c>
      <c r="L30" s="94"/>
      <c r="M30" s="94" t="s">
        <v>52</v>
      </c>
      <c r="N30" s="94"/>
      <c r="O30" s="94" t="s">
        <v>139</v>
      </c>
      <c r="P30" s="94"/>
      <c r="Q30" s="109"/>
      <c r="R30" s="109"/>
      <c r="S30" s="109">
        <v>18101.32</v>
      </c>
      <c r="T30" s="109"/>
      <c r="U30" s="109">
        <v>-45545.88</v>
      </c>
    </row>
    <row r="31" spans="1:21">
      <c r="A31" s="96"/>
      <c r="B31" s="96"/>
      <c r="C31" s="96"/>
      <c r="D31" s="96"/>
      <c r="E31" s="96"/>
      <c r="F31" s="96"/>
      <c r="G31" s="94" t="s">
        <v>46</v>
      </c>
      <c r="H31" s="94"/>
      <c r="I31" s="95">
        <v>44819</v>
      </c>
      <c r="J31" s="94"/>
      <c r="K31" s="94" t="s">
        <v>200</v>
      </c>
      <c r="L31" s="94"/>
      <c r="M31" s="94" t="s">
        <v>52</v>
      </c>
      <c r="N31" s="94"/>
      <c r="O31" s="94" t="s">
        <v>139</v>
      </c>
      <c r="P31" s="94"/>
      <c r="Q31" s="109"/>
      <c r="R31" s="109"/>
      <c r="S31" s="109">
        <v>14043.15</v>
      </c>
      <c r="T31" s="109"/>
      <c r="U31" s="109">
        <v>-59589.03</v>
      </c>
    </row>
    <row r="32" spans="1:21" ht="15.75" thickBot="1">
      <c r="A32" s="96"/>
      <c r="B32" s="96"/>
      <c r="C32" s="96"/>
      <c r="D32" s="96"/>
      <c r="E32" s="96"/>
      <c r="F32" s="96"/>
      <c r="G32" s="94" t="s">
        <v>42</v>
      </c>
      <c r="H32" s="94"/>
      <c r="I32" s="95">
        <v>44819</v>
      </c>
      <c r="J32" s="94"/>
      <c r="K32" s="94" t="s">
        <v>209</v>
      </c>
      <c r="L32" s="94"/>
      <c r="M32" s="94" t="s">
        <v>52</v>
      </c>
      <c r="N32" s="94"/>
      <c r="O32" s="94" t="s">
        <v>55</v>
      </c>
      <c r="P32" s="94"/>
      <c r="Q32" s="112"/>
      <c r="R32" s="109"/>
      <c r="S32" s="112">
        <v>7448.63</v>
      </c>
      <c r="T32" s="109"/>
      <c r="U32" s="112">
        <v>-67037.66</v>
      </c>
    </row>
    <row r="33" spans="1:21">
      <c r="A33" s="96"/>
      <c r="B33" s="96" t="s">
        <v>138</v>
      </c>
      <c r="C33" s="96"/>
      <c r="D33" s="96"/>
      <c r="E33" s="96"/>
      <c r="F33" s="96"/>
      <c r="G33" s="94"/>
      <c r="H33" s="94"/>
      <c r="I33" s="95"/>
      <c r="J33" s="94"/>
      <c r="K33" s="94"/>
      <c r="L33" s="94"/>
      <c r="M33" s="94"/>
      <c r="N33" s="94"/>
      <c r="O33" s="94"/>
      <c r="P33" s="94"/>
      <c r="Q33" s="109">
        <f>ROUND(SUM(Q27:Q32),5)</f>
        <v>0</v>
      </c>
      <c r="R33" s="109"/>
      <c r="S33" s="109">
        <f>ROUND(SUM(S27:S32),5)</f>
        <v>67037.66</v>
      </c>
      <c r="T33" s="109"/>
      <c r="U33" s="109">
        <f>U32</f>
        <v>-67037.66</v>
      </c>
    </row>
    <row r="34" spans="1:21">
      <c r="A34" s="92"/>
      <c r="B34" s="92" t="s">
        <v>137</v>
      </c>
      <c r="C34" s="92"/>
      <c r="D34" s="92"/>
      <c r="E34" s="92"/>
      <c r="F34" s="92"/>
      <c r="G34" s="90"/>
      <c r="H34" s="90"/>
      <c r="I34" s="91"/>
      <c r="J34" s="90"/>
      <c r="K34" s="90"/>
      <c r="L34" s="90"/>
      <c r="M34" s="90"/>
      <c r="N34" s="90"/>
      <c r="O34" s="90"/>
      <c r="P34" s="90"/>
      <c r="Q34" s="107"/>
      <c r="R34" s="107"/>
      <c r="S34" s="107"/>
      <c r="T34" s="107"/>
      <c r="U34" s="107"/>
    </row>
    <row r="35" spans="1:21">
      <c r="A35" s="92"/>
      <c r="B35" s="92"/>
      <c r="C35" s="92" t="s">
        <v>136</v>
      </c>
      <c r="D35" s="92"/>
      <c r="E35" s="92"/>
      <c r="F35" s="92"/>
      <c r="G35" s="90"/>
      <c r="H35" s="90"/>
      <c r="I35" s="91"/>
      <c r="J35" s="90"/>
      <c r="K35" s="90"/>
      <c r="L35" s="90"/>
      <c r="M35" s="90"/>
      <c r="N35" s="90"/>
      <c r="O35" s="90"/>
      <c r="P35" s="90"/>
      <c r="Q35" s="107"/>
      <c r="R35" s="107"/>
      <c r="S35" s="107"/>
      <c r="T35" s="107"/>
      <c r="U35" s="107"/>
    </row>
    <row r="36" spans="1:21">
      <c r="A36" s="92"/>
      <c r="B36" s="92"/>
      <c r="C36" s="92"/>
      <c r="D36" s="92" t="s">
        <v>135</v>
      </c>
      <c r="E36" s="92"/>
      <c r="F36" s="92"/>
      <c r="G36" s="90"/>
      <c r="H36" s="90"/>
      <c r="I36" s="91"/>
      <c r="J36" s="90"/>
      <c r="K36" s="90"/>
      <c r="L36" s="90"/>
      <c r="M36" s="90"/>
      <c r="N36" s="90"/>
      <c r="O36" s="90"/>
      <c r="P36" s="90"/>
      <c r="Q36" s="107"/>
      <c r="R36" s="107"/>
      <c r="S36" s="107"/>
      <c r="T36" s="107"/>
      <c r="U36" s="107"/>
    </row>
    <row r="37" spans="1:21">
      <c r="A37" s="96"/>
      <c r="B37" s="96"/>
      <c r="C37" s="96"/>
      <c r="D37" s="96"/>
      <c r="E37" s="96"/>
      <c r="F37" s="96"/>
      <c r="G37" s="94" t="s">
        <v>46</v>
      </c>
      <c r="H37" s="94"/>
      <c r="I37" s="95">
        <v>44694</v>
      </c>
      <c r="J37" s="94"/>
      <c r="K37" s="94" t="s">
        <v>208</v>
      </c>
      <c r="L37" s="94"/>
      <c r="M37" s="94" t="s">
        <v>52</v>
      </c>
      <c r="N37" s="94"/>
      <c r="O37" s="94" t="s">
        <v>207</v>
      </c>
      <c r="P37" s="94"/>
      <c r="Q37" s="109"/>
      <c r="R37" s="109"/>
      <c r="S37" s="109">
        <v>382772.5</v>
      </c>
      <c r="T37" s="109"/>
      <c r="U37" s="109">
        <v>-382772.5</v>
      </c>
    </row>
    <row r="38" spans="1:21">
      <c r="A38" s="96"/>
      <c r="B38" s="96"/>
      <c r="C38" s="96"/>
      <c r="D38" s="96"/>
      <c r="E38" s="96"/>
      <c r="F38" s="96"/>
      <c r="G38" s="94" t="s">
        <v>46</v>
      </c>
      <c r="H38" s="94"/>
      <c r="I38" s="95">
        <v>44732</v>
      </c>
      <c r="J38" s="94"/>
      <c r="K38" s="94" t="s">
        <v>206</v>
      </c>
      <c r="L38" s="94"/>
      <c r="M38" s="94" t="s">
        <v>52</v>
      </c>
      <c r="N38" s="94"/>
      <c r="O38" s="94" t="s">
        <v>205</v>
      </c>
      <c r="P38" s="94"/>
      <c r="Q38" s="109"/>
      <c r="R38" s="109"/>
      <c r="S38" s="109">
        <v>303341.5</v>
      </c>
      <c r="T38" s="109"/>
      <c r="U38" s="109">
        <v>-686114</v>
      </c>
    </row>
    <row r="39" spans="1:21">
      <c r="A39" s="96"/>
      <c r="B39" s="96"/>
      <c r="C39" s="96"/>
      <c r="D39" s="96"/>
      <c r="E39" s="96"/>
      <c r="F39" s="96"/>
      <c r="G39" s="94" t="s">
        <v>46</v>
      </c>
      <c r="H39" s="94"/>
      <c r="I39" s="95">
        <v>44782</v>
      </c>
      <c r="J39" s="94"/>
      <c r="K39" s="94" t="s">
        <v>204</v>
      </c>
      <c r="L39" s="94"/>
      <c r="M39" s="94" t="s">
        <v>52</v>
      </c>
      <c r="N39" s="94"/>
      <c r="O39" s="94" t="s">
        <v>203</v>
      </c>
      <c r="P39" s="94"/>
      <c r="Q39" s="109"/>
      <c r="R39" s="109"/>
      <c r="S39" s="109">
        <v>452532.95</v>
      </c>
      <c r="T39" s="109"/>
      <c r="U39" s="109">
        <v>-1138646.95</v>
      </c>
    </row>
    <row r="40" spans="1:21" ht="15.75" thickBot="1">
      <c r="A40" s="96"/>
      <c r="B40" s="96"/>
      <c r="C40" s="96"/>
      <c r="D40" s="96"/>
      <c r="E40" s="96"/>
      <c r="F40" s="96"/>
      <c r="G40" s="94" t="s">
        <v>46</v>
      </c>
      <c r="H40" s="94"/>
      <c r="I40" s="95">
        <v>44819</v>
      </c>
      <c r="J40" s="94"/>
      <c r="K40" s="94" t="s">
        <v>200</v>
      </c>
      <c r="L40" s="94"/>
      <c r="M40" s="94" t="s">
        <v>52</v>
      </c>
      <c r="N40" s="94"/>
      <c r="O40" s="94" t="s">
        <v>202</v>
      </c>
      <c r="P40" s="94"/>
      <c r="Q40" s="112"/>
      <c r="R40" s="109"/>
      <c r="S40" s="112">
        <v>361353.05</v>
      </c>
      <c r="T40" s="109"/>
      <c r="U40" s="112">
        <v>-1500000</v>
      </c>
    </row>
    <row r="41" spans="1:21">
      <c r="A41" s="96"/>
      <c r="B41" s="96"/>
      <c r="C41" s="96"/>
      <c r="D41" s="96" t="s">
        <v>124</v>
      </c>
      <c r="E41" s="96"/>
      <c r="F41" s="96"/>
      <c r="G41" s="94"/>
      <c r="H41" s="94"/>
      <c r="I41" s="95"/>
      <c r="J41" s="94"/>
      <c r="K41" s="94"/>
      <c r="L41" s="94"/>
      <c r="M41" s="94"/>
      <c r="N41" s="94"/>
      <c r="O41" s="94"/>
      <c r="P41" s="94"/>
      <c r="Q41" s="109">
        <f>ROUND(SUM(Q36:Q40),5)</f>
        <v>0</v>
      </c>
      <c r="R41" s="109"/>
      <c r="S41" s="109">
        <f>ROUND(SUM(S36:S40),5)</f>
        <v>1500000</v>
      </c>
      <c r="T41" s="109"/>
      <c r="U41" s="109">
        <f>U40</f>
        <v>-1500000</v>
      </c>
    </row>
    <row r="42" spans="1:21">
      <c r="A42" s="92"/>
      <c r="B42" s="92"/>
      <c r="C42" s="92"/>
      <c r="D42" s="92" t="s">
        <v>201</v>
      </c>
      <c r="E42" s="92"/>
      <c r="F42" s="92"/>
      <c r="G42" s="90"/>
      <c r="H42" s="90"/>
      <c r="I42" s="91"/>
      <c r="J42" s="90"/>
      <c r="K42" s="90"/>
      <c r="L42" s="90"/>
      <c r="M42" s="90"/>
      <c r="N42" s="90"/>
      <c r="O42" s="90"/>
      <c r="P42" s="90"/>
      <c r="Q42" s="107"/>
      <c r="R42" s="107"/>
      <c r="S42" s="107"/>
      <c r="T42" s="107"/>
      <c r="U42" s="107"/>
    </row>
    <row r="43" spans="1:21" ht="15.75" thickBot="1">
      <c r="A43" s="111"/>
      <c r="B43" s="111"/>
      <c r="C43" s="111"/>
      <c r="D43" s="111"/>
      <c r="E43" s="96"/>
      <c r="F43" s="96"/>
      <c r="G43" s="94" t="s">
        <v>46</v>
      </c>
      <c r="H43" s="94"/>
      <c r="I43" s="95">
        <v>44819</v>
      </c>
      <c r="J43" s="94"/>
      <c r="K43" s="94" t="s">
        <v>200</v>
      </c>
      <c r="L43" s="94"/>
      <c r="M43" s="94" t="s">
        <v>52</v>
      </c>
      <c r="N43" s="94"/>
      <c r="O43" s="94" t="s">
        <v>199</v>
      </c>
      <c r="P43" s="94"/>
      <c r="Q43" s="110">
        <v>10274.200000000001</v>
      </c>
      <c r="R43" s="109"/>
      <c r="S43" s="110"/>
      <c r="T43" s="109"/>
      <c r="U43" s="110">
        <v>10274.200000000001</v>
      </c>
    </row>
    <row r="44" spans="1:21" ht="15.75" thickBot="1">
      <c r="A44" s="96"/>
      <c r="B44" s="96"/>
      <c r="C44" s="96"/>
      <c r="D44" s="96" t="s">
        <v>198</v>
      </c>
      <c r="E44" s="96"/>
      <c r="F44" s="96"/>
      <c r="G44" s="94"/>
      <c r="H44" s="94"/>
      <c r="I44" s="95"/>
      <c r="J44" s="94"/>
      <c r="K44" s="94"/>
      <c r="L44" s="94"/>
      <c r="M44" s="94"/>
      <c r="N44" s="94"/>
      <c r="O44" s="94"/>
      <c r="P44" s="94"/>
      <c r="Q44" s="108">
        <f>ROUND(SUM(Q42:Q43),5)</f>
        <v>10274.200000000001</v>
      </c>
      <c r="R44" s="109"/>
      <c r="S44" s="108">
        <f>ROUND(SUM(S42:S43),5)</f>
        <v>0</v>
      </c>
      <c r="T44" s="109"/>
      <c r="U44" s="108">
        <f>U43</f>
        <v>10274.200000000001</v>
      </c>
    </row>
    <row r="45" spans="1:21" ht="15.75" thickBot="1">
      <c r="A45" s="96"/>
      <c r="B45" s="96"/>
      <c r="C45" s="96" t="s">
        <v>123</v>
      </c>
      <c r="D45" s="96"/>
      <c r="E45" s="96"/>
      <c r="F45" s="96"/>
      <c r="G45" s="94"/>
      <c r="H45" s="94"/>
      <c r="I45" s="95"/>
      <c r="J45" s="94"/>
      <c r="K45" s="94"/>
      <c r="L45" s="94"/>
      <c r="M45" s="94"/>
      <c r="N45" s="94"/>
      <c r="O45" s="94"/>
      <c r="P45" s="94"/>
      <c r="Q45" s="108">
        <f>ROUND(Q41+Q44,5)</f>
        <v>10274.200000000001</v>
      </c>
      <c r="R45" s="109"/>
      <c r="S45" s="108">
        <f>ROUND(S41+S44,5)</f>
        <v>1500000</v>
      </c>
      <c r="T45" s="109"/>
      <c r="U45" s="108">
        <f>ROUND(U41+U44,5)</f>
        <v>-1489725.8</v>
      </c>
    </row>
    <row r="46" spans="1:21" ht="15.75" thickBot="1">
      <c r="A46" s="96"/>
      <c r="B46" s="96" t="s">
        <v>122</v>
      </c>
      <c r="C46" s="96"/>
      <c r="D46" s="96"/>
      <c r="E46" s="96"/>
      <c r="F46" s="96"/>
      <c r="G46" s="94"/>
      <c r="H46" s="94"/>
      <c r="I46" s="95"/>
      <c r="J46" s="94"/>
      <c r="K46" s="94"/>
      <c r="L46" s="94"/>
      <c r="M46" s="94"/>
      <c r="N46" s="94"/>
      <c r="O46" s="94"/>
      <c r="P46" s="94"/>
      <c r="Q46" s="108">
        <f>Q45</f>
        <v>10274.200000000001</v>
      </c>
      <c r="R46" s="109"/>
      <c r="S46" s="108">
        <f>S45</f>
        <v>1500000</v>
      </c>
      <c r="T46" s="109"/>
      <c r="U46" s="108">
        <f>U45</f>
        <v>-1489725.8</v>
      </c>
    </row>
    <row r="47" spans="1:21" s="88" customFormat="1" ht="13.5" thickBot="1">
      <c r="A47" s="92" t="s">
        <v>121</v>
      </c>
      <c r="B47" s="92"/>
      <c r="C47" s="92"/>
      <c r="D47" s="92"/>
      <c r="E47" s="92"/>
      <c r="F47" s="92"/>
      <c r="G47" s="90"/>
      <c r="H47" s="90"/>
      <c r="I47" s="91"/>
      <c r="J47" s="90"/>
      <c r="K47" s="90"/>
      <c r="L47" s="90"/>
      <c r="M47" s="90"/>
      <c r="N47" s="90"/>
      <c r="O47" s="90"/>
      <c r="P47" s="90"/>
      <c r="Q47" s="106">
        <f>ROUND(Q15+Q26+Q33+Q46,5)</f>
        <v>1716010.24</v>
      </c>
      <c r="R47" s="107"/>
      <c r="S47" s="106">
        <f>ROUND(S15+S26+S33+S46,5)</f>
        <v>3123801.1</v>
      </c>
      <c r="T47" s="107"/>
      <c r="U47" s="106">
        <f>ROUND(U15+U26+U33+U46,5)</f>
        <v>-1407790.86</v>
      </c>
    </row>
    <row r="48" spans="1:21" ht="15.75" thickTop="1"/>
  </sheetData>
  <pageMargins left="0.7" right="0.7" top="0.75" bottom="0.75" header="0.1" footer="0.3"/>
  <pageSetup orientation="portrait" r:id="rId1"/>
  <headerFooter>
    <oddHeader>&amp;L&amp;"Arial,Bold"&amp;10 9:37 AM
&amp;"Arial,Bold"&amp;10 08-01-23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614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6146" r:id="rId4" name="HEADER"/>
      </mc:Fallback>
    </mc:AlternateContent>
    <mc:AlternateContent xmlns:mc="http://schemas.openxmlformats.org/markup-compatibility/2006">
      <mc:Choice Requires="x14">
        <control shapeId="614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6145" r:id="rId6" name="FILTER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49"/>
  <sheetViews>
    <sheetView workbookViewId="0">
      <pane xSplit="4" ySplit="1" topLeftCell="N2" activePane="bottomRight" state="frozenSplit"/>
      <selection pane="topRight" activeCell="E1" sqref="E1"/>
      <selection pane="bottomLeft" activeCell="A2" sqref="A2"/>
      <selection pane="bottomRight" activeCell="W15" sqref="W15"/>
    </sheetView>
  </sheetViews>
  <sheetFormatPr defaultRowHeight="15"/>
  <cols>
    <col min="1" max="1" width="3" style="87" customWidth="1"/>
    <col min="2" max="6" width="0.7109375" style="87" customWidth="1"/>
    <col min="7" max="7" width="14" style="87" bestFit="1" customWidth="1"/>
    <col min="8" max="8" width="2.28515625" customWidth="1"/>
    <col min="9" max="9" width="10.140625" bestFit="1" customWidth="1"/>
    <col min="10" max="10" width="2.28515625" customWidth="1"/>
    <col min="11" max="11" width="6" bestFit="1" customWidth="1"/>
    <col min="12" max="12" width="2.28515625" customWidth="1"/>
    <col min="13" max="13" width="40.7109375" bestFit="1" customWidth="1"/>
    <col min="14" max="14" width="2.28515625" customWidth="1"/>
    <col min="15" max="15" width="46.42578125" bestFit="1" customWidth="1"/>
    <col min="16" max="16" width="2.28515625" customWidth="1"/>
    <col min="17" max="17" width="12.85546875" style="105" bestFit="1" customWidth="1"/>
    <col min="18" max="18" width="2.28515625" style="105" customWidth="1"/>
    <col min="19" max="19" width="12.85546875" style="105" bestFit="1" customWidth="1"/>
    <col min="20" max="20" width="2.28515625" style="105" customWidth="1"/>
    <col min="21" max="21" width="13.5703125" style="105" bestFit="1" customWidth="1"/>
  </cols>
  <sheetData>
    <row r="1" spans="1:21" s="101" customFormat="1" ht="15.75" thickBot="1">
      <c r="A1" s="104"/>
      <c r="B1" s="104"/>
      <c r="C1" s="104"/>
      <c r="D1" s="104"/>
      <c r="E1" s="104"/>
      <c r="F1" s="104"/>
      <c r="G1" s="115" t="s">
        <v>97</v>
      </c>
      <c r="H1" s="103"/>
      <c r="I1" s="102" t="s">
        <v>96</v>
      </c>
      <c r="J1" s="103"/>
      <c r="K1" s="102" t="s">
        <v>95</v>
      </c>
      <c r="L1" s="103"/>
      <c r="M1" s="102" t="s">
        <v>93</v>
      </c>
      <c r="N1" s="103"/>
      <c r="O1" s="102" t="s">
        <v>92</v>
      </c>
      <c r="P1" s="103"/>
      <c r="Q1" s="113" t="s">
        <v>91</v>
      </c>
      <c r="R1" s="114"/>
      <c r="S1" s="113" t="s">
        <v>90</v>
      </c>
      <c r="T1" s="114"/>
      <c r="U1" s="113" t="s">
        <v>31</v>
      </c>
    </row>
    <row r="2" spans="1:21" ht="15.75" thickTop="1">
      <c r="A2" s="92"/>
      <c r="B2" s="92" t="s">
        <v>166</v>
      </c>
      <c r="C2" s="92"/>
      <c r="D2" s="92"/>
      <c r="E2" s="92"/>
      <c r="F2" s="92"/>
      <c r="G2" s="92"/>
      <c r="H2" s="90"/>
      <c r="I2" s="91"/>
      <c r="J2" s="90"/>
      <c r="K2" s="90"/>
      <c r="L2" s="90"/>
      <c r="M2" s="90"/>
      <c r="N2" s="90"/>
      <c r="O2" s="90"/>
      <c r="P2" s="90"/>
      <c r="Q2" s="107"/>
      <c r="R2" s="107"/>
      <c r="S2" s="107"/>
      <c r="T2" s="107"/>
      <c r="U2" s="107"/>
    </row>
    <row r="3" spans="1:21">
      <c r="A3" s="96"/>
      <c r="B3" s="96"/>
      <c r="C3" s="96"/>
      <c r="D3" s="96"/>
      <c r="E3" s="96"/>
      <c r="F3" s="96"/>
      <c r="G3" s="96" t="s">
        <v>46</v>
      </c>
      <c r="H3" s="94"/>
      <c r="I3" s="95">
        <v>44694</v>
      </c>
      <c r="J3" s="94"/>
      <c r="K3" s="94" t="s">
        <v>226</v>
      </c>
      <c r="L3" s="94"/>
      <c r="M3" s="94" t="s">
        <v>50</v>
      </c>
      <c r="N3" s="94"/>
      <c r="O3" s="94" t="s">
        <v>75</v>
      </c>
      <c r="P3" s="94"/>
      <c r="Q3" s="109">
        <v>176470.56</v>
      </c>
      <c r="R3" s="109"/>
      <c r="S3" s="109"/>
      <c r="T3" s="109"/>
      <c r="U3" s="109">
        <v>176470.56</v>
      </c>
    </row>
    <row r="4" spans="1:21">
      <c r="A4" s="96"/>
      <c r="B4" s="96"/>
      <c r="C4" s="96"/>
      <c r="D4" s="96"/>
      <c r="E4" s="96"/>
      <c r="F4" s="96"/>
      <c r="G4" s="96" t="s">
        <v>42</v>
      </c>
      <c r="H4" s="94"/>
      <c r="I4" s="95">
        <v>44728</v>
      </c>
      <c r="J4" s="94"/>
      <c r="K4" s="94" t="s">
        <v>234</v>
      </c>
      <c r="L4" s="94"/>
      <c r="M4" s="94" t="s">
        <v>50</v>
      </c>
      <c r="N4" s="94"/>
      <c r="O4" s="94" t="s">
        <v>233</v>
      </c>
      <c r="P4" s="94"/>
      <c r="Q4" s="109"/>
      <c r="R4" s="109"/>
      <c r="S4" s="109">
        <v>176470.56</v>
      </c>
      <c r="T4" s="109"/>
      <c r="U4" s="109">
        <v>0</v>
      </c>
    </row>
    <row r="5" spans="1:21">
      <c r="A5" s="96"/>
      <c r="B5" s="96"/>
      <c r="C5" s="96"/>
      <c r="D5" s="96"/>
      <c r="E5" s="96"/>
      <c r="F5" s="96"/>
      <c r="G5" s="96" t="s">
        <v>46</v>
      </c>
      <c r="H5" s="94"/>
      <c r="I5" s="95">
        <v>44732</v>
      </c>
      <c r="J5" s="94"/>
      <c r="K5" s="94" t="s">
        <v>225</v>
      </c>
      <c r="L5" s="94"/>
      <c r="M5" s="94" t="s">
        <v>50</v>
      </c>
      <c r="N5" s="94"/>
      <c r="O5" s="94" t="s">
        <v>68</v>
      </c>
      <c r="P5" s="94"/>
      <c r="Q5" s="109">
        <v>243571.44</v>
      </c>
      <c r="R5" s="109"/>
      <c r="S5" s="109"/>
      <c r="T5" s="109"/>
      <c r="U5" s="109">
        <v>243571.44</v>
      </c>
    </row>
    <row r="6" spans="1:21">
      <c r="A6" s="96"/>
      <c r="B6" s="96"/>
      <c r="C6" s="96"/>
      <c r="D6" s="96"/>
      <c r="E6" s="96"/>
      <c r="F6" s="96"/>
      <c r="G6" s="96" t="s">
        <v>42</v>
      </c>
      <c r="H6" s="94"/>
      <c r="I6" s="95">
        <v>44762</v>
      </c>
      <c r="J6" s="94"/>
      <c r="K6" s="94" t="s">
        <v>232</v>
      </c>
      <c r="L6" s="94"/>
      <c r="M6" s="94" t="s">
        <v>50</v>
      </c>
      <c r="N6" s="94"/>
      <c r="O6" s="94" t="s">
        <v>231</v>
      </c>
      <c r="P6" s="94"/>
      <c r="Q6" s="109"/>
      <c r="R6" s="109"/>
      <c r="S6" s="109">
        <v>243571.44</v>
      </c>
      <c r="T6" s="109"/>
      <c r="U6" s="109">
        <v>0</v>
      </c>
    </row>
    <row r="7" spans="1:21">
      <c r="A7" s="96"/>
      <c r="B7" s="96"/>
      <c r="C7" s="96"/>
      <c r="D7" s="96"/>
      <c r="E7" s="96"/>
      <c r="F7" s="96"/>
      <c r="G7" s="96" t="s">
        <v>46</v>
      </c>
      <c r="H7" s="94"/>
      <c r="I7" s="95">
        <v>44775</v>
      </c>
      <c r="J7" s="94"/>
      <c r="K7" s="94" t="s">
        <v>223</v>
      </c>
      <c r="L7" s="94"/>
      <c r="M7" s="94" t="s">
        <v>50</v>
      </c>
      <c r="N7" s="94"/>
      <c r="O7" s="94" t="s">
        <v>61</v>
      </c>
      <c r="P7" s="94"/>
      <c r="Q7" s="109">
        <v>295742.78999999998</v>
      </c>
      <c r="R7" s="109"/>
      <c r="S7" s="109"/>
      <c r="T7" s="109"/>
      <c r="U7" s="109">
        <v>295742.78999999998</v>
      </c>
    </row>
    <row r="8" spans="1:21">
      <c r="A8" s="96"/>
      <c r="B8" s="96"/>
      <c r="C8" s="96"/>
      <c r="D8" s="96"/>
      <c r="E8" s="96"/>
      <c r="F8" s="96"/>
      <c r="G8" s="96" t="s">
        <v>46</v>
      </c>
      <c r="H8" s="94"/>
      <c r="I8" s="95">
        <v>44795</v>
      </c>
      <c r="J8" s="94"/>
      <c r="K8" s="94" t="s">
        <v>221</v>
      </c>
      <c r="L8" s="94"/>
      <c r="M8" s="94" t="s">
        <v>50</v>
      </c>
      <c r="N8" s="94"/>
      <c r="O8" s="94" t="s">
        <v>59</v>
      </c>
      <c r="P8" s="94"/>
      <c r="Q8" s="109">
        <v>129546.51</v>
      </c>
      <c r="R8" s="109"/>
      <c r="S8" s="109"/>
      <c r="T8" s="109"/>
      <c r="U8" s="109">
        <v>425289.3</v>
      </c>
    </row>
    <row r="9" spans="1:21">
      <c r="A9" s="96"/>
      <c r="B9" s="96"/>
      <c r="C9" s="96"/>
      <c r="D9" s="96"/>
      <c r="E9" s="96"/>
      <c r="F9" s="96"/>
      <c r="G9" s="96" t="s">
        <v>42</v>
      </c>
      <c r="H9" s="94"/>
      <c r="I9" s="95">
        <v>44813</v>
      </c>
      <c r="J9" s="94"/>
      <c r="K9" s="94" t="s">
        <v>230</v>
      </c>
      <c r="L9" s="94"/>
      <c r="M9" s="94" t="s">
        <v>50</v>
      </c>
      <c r="N9" s="94"/>
      <c r="O9" s="94" t="s">
        <v>229</v>
      </c>
      <c r="P9" s="94"/>
      <c r="Q9" s="109"/>
      <c r="R9" s="109"/>
      <c r="S9" s="109">
        <v>295742.78999999998</v>
      </c>
      <c r="T9" s="109"/>
      <c r="U9" s="109">
        <v>129546.51</v>
      </c>
    </row>
    <row r="10" spans="1:21">
      <c r="A10" s="96"/>
      <c r="B10" s="96"/>
      <c r="C10" s="96"/>
      <c r="D10" s="96"/>
      <c r="E10" s="96"/>
      <c r="F10" s="96"/>
      <c r="G10" s="96" t="s">
        <v>42</v>
      </c>
      <c r="H10" s="94"/>
      <c r="I10" s="95">
        <v>44832</v>
      </c>
      <c r="J10" s="94"/>
      <c r="K10" s="94" t="s">
        <v>228</v>
      </c>
      <c r="L10" s="94"/>
      <c r="M10" s="94" t="s">
        <v>50</v>
      </c>
      <c r="N10" s="94"/>
      <c r="O10" s="94" t="s">
        <v>227</v>
      </c>
      <c r="P10" s="94"/>
      <c r="Q10" s="109"/>
      <c r="R10" s="109"/>
      <c r="S10" s="109">
        <v>129546.51</v>
      </c>
      <c r="T10" s="109"/>
      <c r="U10" s="109">
        <v>0</v>
      </c>
    </row>
    <row r="11" spans="1:21">
      <c r="A11" s="96"/>
      <c r="B11" s="96"/>
      <c r="C11" s="96"/>
      <c r="D11" s="96"/>
      <c r="E11" s="96"/>
      <c r="F11" s="96"/>
      <c r="G11" s="96" t="s">
        <v>46</v>
      </c>
      <c r="H11" s="94"/>
      <c r="I11" s="95">
        <v>44905</v>
      </c>
      <c r="J11" s="94"/>
      <c r="K11" s="94" t="s">
        <v>224</v>
      </c>
      <c r="L11" s="94"/>
      <c r="M11" s="94" t="s">
        <v>50</v>
      </c>
      <c r="N11" s="94"/>
      <c r="O11" s="94" t="s">
        <v>49</v>
      </c>
      <c r="P11" s="94"/>
      <c r="Q11" s="109">
        <v>227509.3</v>
      </c>
      <c r="R11" s="109"/>
      <c r="S11" s="109"/>
      <c r="T11" s="109"/>
      <c r="U11" s="109">
        <v>227509.3</v>
      </c>
    </row>
    <row r="12" spans="1:21" ht="15.75" thickBot="1">
      <c r="A12" s="96"/>
      <c r="B12" s="96"/>
      <c r="C12" s="96"/>
      <c r="D12" s="96"/>
      <c r="E12" s="96"/>
      <c r="F12" s="96"/>
      <c r="G12" s="96" t="s">
        <v>80</v>
      </c>
      <c r="H12" s="94"/>
      <c r="I12" s="95">
        <v>45061</v>
      </c>
      <c r="J12" s="94"/>
      <c r="K12" s="94" t="s">
        <v>152</v>
      </c>
      <c r="L12" s="94"/>
      <c r="M12" s="94" t="s">
        <v>50</v>
      </c>
      <c r="N12" s="94"/>
      <c r="O12" s="94" t="s">
        <v>151</v>
      </c>
      <c r="P12" s="94"/>
      <c r="Q12" s="112"/>
      <c r="R12" s="109"/>
      <c r="S12" s="112">
        <v>227509.3</v>
      </c>
      <c r="T12" s="109"/>
      <c r="U12" s="112">
        <v>0</v>
      </c>
    </row>
    <row r="13" spans="1:21" s="100" customFormat="1">
      <c r="A13" s="92"/>
      <c r="B13" s="92" t="s">
        <v>149</v>
      </c>
      <c r="C13" s="92"/>
      <c r="D13" s="92"/>
      <c r="E13" s="92"/>
      <c r="F13" s="92"/>
      <c r="G13" s="92"/>
      <c r="H13" s="90"/>
      <c r="I13" s="91"/>
      <c r="J13" s="90"/>
      <c r="K13" s="90"/>
      <c r="L13" s="90"/>
      <c r="M13" s="90"/>
      <c r="N13" s="90"/>
      <c r="O13" s="90"/>
      <c r="P13" s="90"/>
      <c r="Q13" s="107">
        <v>1072840.6000000001</v>
      </c>
      <c r="R13" s="107"/>
      <c r="S13" s="107">
        <v>1072840.6000000001</v>
      </c>
      <c r="T13" s="107"/>
      <c r="U13" s="107">
        <v>0</v>
      </c>
    </row>
    <row r="14" spans="1:21">
      <c r="A14" s="92"/>
      <c r="B14" s="92" t="s">
        <v>148</v>
      </c>
      <c r="C14" s="92"/>
      <c r="D14" s="92"/>
      <c r="E14" s="92"/>
      <c r="F14" s="92"/>
      <c r="G14" s="92"/>
      <c r="H14" s="90"/>
      <c r="I14" s="91"/>
      <c r="J14" s="90"/>
      <c r="K14" s="90"/>
      <c r="L14" s="90"/>
      <c r="M14" s="90"/>
      <c r="N14" s="90"/>
      <c r="O14" s="90"/>
      <c r="P14" s="90"/>
      <c r="Q14" s="107"/>
      <c r="R14" s="107"/>
      <c r="S14" s="107"/>
      <c r="T14" s="107"/>
      <c r="U14" s="107"/>
    </row>
    <row r="15" spans="1:21">
      <c r="A15" s="96"/>
      <c r="B15" s="96"/>
      <c r="C15" s="96"/>
      <c r="D15" s="96"/>
      <c r="E15" s="96"/>
      <c r="F15" s="96"/>
      <c r="G15" s="96" t="s">
        <v>46</v>
      </c>
      <c r="H15" s="94"/>
      <c r="I15" s="95">
        <v>44694</v>
      </c>
      <c r="J15" s="94"/>
      <c r="K15" s="94" t="s">
        <v>226</v>
      </c>
      <c r="L15" s="94"/>
      <c r="M15" s="94" t="s">
        <v>50</v>
      </c>
      <c r="N15" s="94"/>
      <c r="O15" s="94" t="s">
        <v>143</v>
      </c>
      <c r="P15" s="94"/>
      <c r="Q15" s="109">
        <v>21008.400000000001</v>
      </c>
      <c r="R15" s="109"/>
      <c r="S15" s="109"/>
      <c r="T15" s="109"/>
      <c r="U15" s="109">
        <v>21008.400000000001</v>
      </c>
    </row>
    <row r="16" spans="1:21">
      <c r="A16" s="96"/>
      <c r="B16" s="96"/>
      <c r="C16" s="96"/>
      <c r="D16" s="96"/>
      <c r="E16" s="96"/>
      <c r="F16" s="96"/>
      <c r="G16" s="96" t="s">
        <v>46</v>
      </c>
      <c r="H16" s="94"/>
      <c r="I16" s="95">
        <v>44694</v>
      </c>
      <c r="J16" s="94"/>
      <c r="K16" s="94" t="s">
        <v>226</v>
      </c>
      <c r="L16" s="94"/>
      <c r="M16" s="94" t="s">
        <v>50</v>
      </c>
      <c r="N16" s="94"/>
      <c r="O16" s="94" t="s">
        <v>147</v>
      </c>
      <c r="P16" s="94"/>
      <c r="Q16" s="109">
        <v>21008.400000000001</v>
      </c>
      <c r="R16" s="109"/>
      <c r="S16" s="109"/>
      <c r="T16" s="109"/>
      <c r="U16" s="109">
        <v>42016.800000000003</v>
      </c>
    </row>
    <row r="17" spans="1:21">
      <c r="A17" s="96"/>
      <c r="B17" s="96"/>
      <c r="C17" s="96"/>
      <c r="D17" s="96"/>
      <c r="E17" s="96"/>
      <c r="F17" s="96"/>
      <c r="G17" s="96" t="s">
        <v>46</v>
      </c>
      <c r="H17" s="94"/>
      <c r="I17" s="95">
        <v>44732</v>
      </c>
      <c r="J17" s="94"/>
      <c r="K17" s="94" t="s">
        <v>225</v>
      </c>
      <c r="L17" s="94"/>
      <c r="M17" s="94" t="s">
        <v>50</v>
      </c>
      <c r="N17" s="94"/>
      <c r="O17" s="94" t="s">
        <v>143</v>
      </c>
      <c r="P17" s="94"/>
      <c r="Q17" s="109">
        <v>28996.6</v>
      </c>
      <c r="R17" s="109"/>
      <c r="S17" s="109"/>
      <c r="T17" s="109"/>
      <c r="U17" s="109">
        <v>71013.399999999994</v>
      </c>
    </row>
    <row r="18" spans="1:21">
      <c r="A18" s="96"/>
      <c r="B18" s="96"/>
      <c r="C18" s="96"/>
      <c r="D18" s="96"/>
      <c r="E18" s="96"/>
      <c r="F18" s="96"/>
      <c r="G18" s="96" t="s">
        <v>46</v>
      </c>
      <c r="H18" s="94"/>
      <c r="I18" s="95">
        <v>44732</v>
      </c>
      <c r="J18" s="94"/>
      <c r="K18" s="94" t="s">
        <v>225</v>
      </c>
      <c r="L18" s="94"/>
      <c r="M18" s="94" t="s">
        <v>50</v>
      </c>
      <c r="N18" s="94"/>
      <c r="O18" s="94" t="s">
        <v>146</v>
      </c>
      <c r="P18" s="94"/>
      <c r="Q18" s="109">
        <v>28996.6</v>
      </c>
      <c r="R18" s="109"/>
      <c r="S18" s="109"/>
      <c r="T18" s="109"/>
      <c r="U18" s="109">
        <v>100010</v>
      </c>
    </row>
    <row r="19" spans="1:21">
      <c r="A19" s="96"/>
      <c r="B19" s="96"/>
      <c r="C19" s="96"/>
      <c r="D19" s="96"/>
      <c r="E19" s="96"/>
      <c r="F19" s="96"/>
      <c r="G19" s="96" t="s">
        <v>46</v>
      </c>
      <c r="H19" s="94"/>
      <c r="I19" s="95">
        <v>44775</v>
      </c>
      <c r="J19" s="94"/>
      <c r="K19" s="94" t="s">
        <v>223</v>
      </c>
      <c r="L19" s="94"/>
      <c r="M19" s="94" t="s">
        <v>50</v>
      </c>
      <c r="N19" s="94"/>
      <c r="O19" s="94" t="s">
        <v>143</v>
      </c>
      <c r="P19" s="94"/>
      <c r="Q19" s="109">
        <v>35207.47</v>
      </c>
      <c r="R19" s="109"/>
      <c r="S19" s="109"/>
      <c r="T19" s="109"/>
      <c r="U19" s="109">
        <v>135217.47</v>
      </c>
    </row>
    <row r="20" spans="1:21">
      <c r="A20" s="96"/>
      <c r="B20" s="96"/>
      <c r="C20" s="96"/>
      <c r="D20" s="96"/>
      <c r="E20" s="96"/>
      <c r="F20" s="96"/>
      <c r="G20" s="96" t="s">
        <v>46</v>
      </c>
      <c r="H20" s="94"/>
      <c r="I20" s="95">
        <v>44775</v>
      </c>
      <c r="J20" s="94"/>
      <c r="K20" s="94" t="s">
        <v>223</v>
      </c>
      <c r="L20" s="94"/>
      <c r="M20" s="94" t="s">
        <v>50</v>
      </c>
      <c r="N20" s="94"/>
      <c r="O20" s="94" t="s">
        <v>145</v>
      </c>
      <c r="P20" s="94"/>
      <c r="Q20" s="109">
        <v>35207.47</v>
      </c>
      <c r="R20" s="109"/>
      <c r="S20" s="109"/>
      <c r="T20" s="109"/>
      <c r="U20" s="109">
        <v>170424.94</v>
      </c>
    </row>
    <row r="21" spans="1:21">
      <c r="A21" s="96"/>
      <c r="B21" s="96"/>
      <c r="C21" s="96"/>
      <c r="D21" s="96"/>
      <c r="E21" s="96"/>
      <c r="F21" s="96"/>
      <c r="G21" s="96" t="s">
        <v>46</v>
      </c>
      <c r="H21" s="94"/>
      <c r="I21" s="95">
        <v>44795</v>
      </c>
      <c r="J21" s="94"/>
      <c r="K21" s="94" t="s">
        <v>221</v>
      </c>
      <c r="L21" s="94"/>
      <c r="M21" s="94" t="s">
        <v>50</v>
      </c>
      <c r="N21" s="94"/>
      <c r="O21" s="94" t="s">
        <v>143</v>
      </c>
      <c r="P21" s="94"/>
      <c r="Q21" s="109">
        <v>15422.2</v>
      </c>
      <c r="R21" s="109"/>
      <c r="S21" s="109"/>
      <c r="T21" s="109"/>
      <c r="U21" s="109">
        <v>185847.14</v>
      </c>
    </row>
    <row r="22" spans="1:21">
      <c r="A22" s="96"/>
      <c r="B22" s="96"/>
      <c r="C22" s="96"/>
      <c r="D22" s="96"/>
      <c r="E22" s="96"/>
      <c r="F22" s="96"/>
      <c r="G22" s="96" t="s">
        <v>46</v>
      </c>
      <c r="H22" s="94"/>
      <c r="I22" s="95">
        <v>44795</v>
      </c>
      <c r="J22" s="94"/>
      <c r="K22" s="94" t="s">
        <v>221</v>
      </c>
      <c r="L22" s="94"/>
      <c r="M22" s="94" t="s">
        <v>50</v>
      </c>
      <c r="N22" s="94"/>
      <c r="O22" s="94" t="s">
        <v>144</v>
      </c>
      <c r="P22" s="94"/>
      <c r="Q22" s="109">
        <v>15422.2</v>
      </c>
      <c r="R22" s="109"/>
      <c r="S22" s="109"/>
      <c r="T22" s="109"/>
      <c r="U22" s="109">
        <v>201269.34</v>
      </c>
    </row>
    <row r="23" spans="1:21">
      <c r="A23" s="96"/>
      <c r="B23" s="96"/>
      <c r="C23" s="96"/>
      <c r="D23" s="96"/>
      <c r="E23" s="96"/>
      <c r="F23" s="96"/>
      <c r="G23" s="96" t="s">
        <v>46</v>
      </c>
      <c r="H23" s="94"/>
      <c r="I23" s="95">
        <v>44905</v>
      </c>
      <c r="J23" s="94"/>
      <c r="K23" s="94" t="s">
        <v>224</v>
      </c>
      <c r="L23" s="94"/>
      <c r="M23" s="94" t="s">
        <v>50</v>
      </c>
      <c r="N23" s="94"/>
      <c r="O23" s="94" t="s">
        <v>143</v>
      </c>
      <c r="P23" s="94"/>
      <c r="Q23" s="109">
        <v>27084.44</v>
      </c>
      <c r="R23" s="109"/>
      <c r="S23" s="109"/>
      <c r="T23" s="109"/>
      <c r="U23" s="109">
        <v>228353.78</v>
      </c>
    </row>
    <row r="24" spans="1:21" ht="15.75" thickBot="1">
      <c r="A24" s="96"/>
      <c r="B24" s="96"/>
      <c r="C24" s="96"/>
      <c r="D24" s="96"/>
      <c r="E24" s="96"/>
      <c r="F24" s="96"/>
      <c r="G24" s="96" t="s">
        <v>46</v>
      </c>
      <c r="H24" s="94"/>
      <c r="I24" s="95">
        <v>44905</v>
      </c>
      <c r="J24" s="94"/>
      <c r="K24" s="94" t="s">
        <v>224</v>
      </c>
      <c r="L24" s="94"/>
      <c r="M24" s="94" t="s">
        <v>50</v>
      </c>
      <c r="N24" s="94"/>
      <c r="O24" s="94" t="s">
        <v>142</v>
      </c>
      <c r="P24" s="94"/>
      <c r="Q24" s="112">
        <v>27084.44</v>
      </c>
      <c r="R24" s="109"/>
      <c r="S24" s="112"/>
      <c r="T24" s="109"/>
      <c r="U24" s="112">
        <v>255438.22</v>
      </c>
    </row>
    <row r="25" spans="1:21">
      <c r="A25" s="96"/>
      <c r="B25" s="96" t="s">
        <v>141</v>
      </c>
      <c r="C25" s="96"/>
      <c r="D25" s="96"/>
      <c r="E25" s="96"/>
      <c r="F25" s="96"/>
      <c r="G25" s="96"/>
      <c r="H25" s="94"/>
      <c r="I25" s="95"/>
      <c r="J25" s="94"/>
      <c r="K25" s="94"/>
      <c r="L25" s="94"/>
      <c r="M25" s="94"/>
      <c r="N25" s="94"/>
      <c r="O25" s="94"/>
      <c r="P25" s="94"/>
      <c r="Q25" s="109">
        <f>ROUND(SUM(Q14:Q24),5)</f>
        <v>255438.22</v>
      </c>
      <c r="R25" s="109"/>
      <c r="S25" s="109">
        <f>ROUND(SUM(S14:S24),5)</f>
        <v>0</v>
      </c>
      <c r="T25" s="109"/>
      <c r="U25" s="109">
        <f>U24</f>
        <v>255438.22</v>
      </c>
    </row>
    <row r="26" spans="1:21">
      <c r="A26" s="92"/>
      <c r="B26" s="92" t="s">
        <v>140</v>
      </c>
      <c r="C26" s="92"/>
      <c r="D26" s="92"/>
      <c r="E26" s="92"/>
      <c r="F26" s="92"/>
      <c r="G26" s="92"/>
      <c r="H26" s="90"/>
      <c r="I26" s="91"/>
      <c r="J26" s="90"/>
      <c r="K26" s="90"/>
      <c r="L26" s="90"/>
      <c r="M26" s="90"/>
      <c r="N26" s="90"/>
      <c r="O26" s="90"/>
      <c r="P26" s="90"/>
      <c r="Q26" s="107"/>
      <c r="R26" s="107"/>
      <c r="S26" s="107"/>
      <c r="T26" s="107"/>
      <c r="U26" s="107"/>
    </row>
    <row r="27" spans="1:21">
      <c r="A27" s="96"/>
      <c r="B27" s="96"/>
      <c r="C27" s="96"/>
      <c r="D27" s="96"/>
      <c r="E27" s="96"/>
      <c r="F27" s="96"/>
      <c r="G27" s="96" t="s">
        <v>46</v>
      </c>
      <c r="H27" s="94"/>
      <c r="I27" s="95">
        <v>44694</v>
      </c>
      <c r="J27" s="94"/>
      <c r="K27" s="94" t="s">
        <v>226</v>
      </c>
      <c r="L27" s="94"/>
      <c r="M27" s="94" t="s">
        <v>50</v>
      </c>
      <c r="N27" s="94"/>
      <c r="O27" s="94" t="s">
        <v>139</v>
      </c>
      <c r="P27" s="94"/>
      <c r="Q27" s="109"/>
      <c r="R27" s="109"/>
      <c r="S27" s="109">
        <v>8403.36</v>
      </c>
      <c r="T27" s="109"/>
      <c r="U27" s="109">
        <v>-8403.36</v>
      </c>
    </row>
    <row r="28" spans="1:21">
      <c r="A28" s="96"/>
      <c r="B28" s="96"/>
      <c r="C28" s="96"/>
      <c r="D28" s="96"/>
      <c r="E28" s="96"/>
      <c r="F28" s="96"/>
      <c r="G28" s="96" t="s">
        <v>46</v>
      </c>
      <c r="H28" s="94"/>
      <c r="I28" s="95">
        <v>44732</v>
      </c>
      <c r="J28" s="94"/>
      <c r="K28" s="94" t="s">
        <v>225</v>
      </c>
      <c r="L28" s="94"/>
      <c r="M28" s="94" t="s">
        <v>50</v>
      </c>
      <c r="N28" s="94"/>
      <c r="O28" s="94" t="s">
        <v>139</v>
      </c>
      <c r="P28" s="94"/>
      <c r="Q28" s="109"/>
      <c r="R28" s="109"/>
      <c r="S28" s="109">
        <v>11598.64</v>
      </c>
      <c r="T28" s="109"/>
      <c r="U28" s="109">
        <v>-20002</v>
      </c>
    </row>
    <row r="29" spans="1:21">
      <c r="A29" s="96"/>
      <c r="B29" s="96"/>
      <c r="C29" s="96"/>
      <c r="D29" s="96"/>
      <c r="E29" s="96"/>
      <c r="F29" s="96"/>
      <c r="G29" s="96" t="s">
        <v>46</v>
      </c>
      <c r="H29" s="94"/>
      <c r="I29" s="95">
        <v>44775</v>
      </c>
      <c r="J29" s="94"/>
      <c r="K29" s="94" t="s">
        <v>223</v>
      </c>
      <c r="L29" s="94"/>
      <c r="M29" s="94" t="s">
        <v>50</v>
      </c>
      <c r="N29" s="94"/>
      <c r="O29" s="94" t="s">
        <v>139</v>
      </c>
      <c r="P29" s="94"/>
      <c r="Q29" s="109"/>
      <c r="R29" s="109"/>
      <c r="S29" s="109">
        <v>14082.99</v>
      </c>
      <c r="T29" s="109"/>
      <c r="U29" s="109">
        <v>-34084.99</v>
      </c>
    </row>
    <row r="30" spans="1:21">
      <c r="A30" s="96"/>
      <c r="B30" s="96"/>
      <c r="C30" s="96"/>
      <c r="D30" s="96"/>
      <c r="E30" s="96"/>
      <c r="F30" s="96"/>
      <c r="G30" s="96" t="s">
        <v>46</v>
      </c>
      <c r="H30" s="94"/>
      <c r="I30" s="95">
        <v>44795</v>
      </c>
      <c r="J30" s="94"/>
      <c r="K30" s="94" t="s">
        <v>221</v>
      </c>
      <c r="L30" s="94"/>
      <c r="M30" s="94" t="s">
        <v>50</v>
      </c>
      <c r="N30" s="94"/>
      <c r="O30" s="94" t="s">
        <v>139</v>
      </c>
      <c r="P30" s="94"/>
      <c r="Q30" s="109"/>
      <c r="R30" s="109"/>
      <c r="S30" s="109">
        <v>6168.88</v>
      </c>
      <c r="T30" s="109"/>
      <c r="U30" s="109">
        <v>-40253.870000000003</v>
      </c>
    </row>
    <row r="31" spans="1:21" ht="15.75" thickBot="1">
      <c r="A31" s="96"/>
      <c r="B31" s="96"/>
      <c r="C31" s="96"/>
      <c r="D31" s="96"/>
      <c r="E31" s="96"/>
      <c r="F31" s="96"/>
      <c r="G31" s="96" t="s">
        <v>46</v>
      </c>
      <c r="H31" s="94"/>
      <c r="I31" s="95">
        <v>44905</v>
      </c>
      <c r="J31" s="94"/>
      <c r="K31" s="94" t="s">
        <v>224</v>
      </c>
      <c r="L31" s="94"/>
      <c r="M31" s="94" t="s">
        <v>50</v>
      </c>
      <c r="N31" s="94"/>
      <c r="O31" s="94" t="s">
        <v>139</v>
      </c>
      <c r="P31" s="94"/>
      <c r="Q31" s="112"/>
      <c r="R31" s="109"/>
      <c r="S31" s="112">
        <v>10833.78</v>
      </c>
      <c r="T31" s="109"/>
      <c r="U31" s="112">
        <v>-51087.65</v>
      </c>
    </row>
    <row r="32" spans="1:21">
      <c r="A32" s="96"/>
      <c r="B32" s="96" t="s">
        <v>138</v>
      </c>
      <c r="C32" s="96"/>
      <c r="D32" s="96"/>
      <c r="E32" s="96"/>
      <c r="F32" s="96"/>
      <c r="G32" s="96"/>
      <c r="H32" s="94"/>
      <c r="I32" s="95"/>
      <c r="J32" s="94"/>
      <c r="K32" s="94"/>
      <c r="L32" s="94"/>
      <c r="M32" s="94"/>
      <c r="N32" s="94"/>
      <c r="O32" s="94"/>
      <c r="P32" s="94"/>
      <c r="Q32" s="109">
        <f>ROUND(SUM(Q26:Q31),5)</f>
        <v>0</v>
      </c>
      <c r="R32" s="109"/>
      <c r="S32" s="109">
        <f>ROUND(SUM(S26:S31),5)</f>
        <v>51087.65</v>
      </c>
      <c r="T32" s="109"/>
      <c r="U32" s="109">
        <f>U31</f>
        <v>-51087.65</v>
      </c>
    </row>
    <row r="33" spans="1:21">
      <c r="A33" s="92"/>
      <c r="B33" s="92" t="s">
        <v>137</v>
      </c>
      <c r="C33" s="92"/>
      <c r="D33" s="92"/>
      <c r="E33" s="92"/>
      <c r="F33" s="92"/>
      <c r="G33" s="92"/>
      <c r="H33" s="90"/>
      <c r="I33" s="91"/>
      <c r="J33" s="90"/>
      <c r="K33" s="90"/>
      <c r="L33" s="90"/>
      <c r="M33" s="90"/>
      <c r="N33" s="90"/>
      <c r="O33" s="90"/>
      <c r="P33" s="90"/>
      <c r="Q33" s="107"/>
      <c r="R33" s="107"/>
      <c r="S33" s="107"/>
      <c r="T33" s="107"/>
      <c r="U33" s="107"/>
    </row>
    <row r="34" spans="1:21">
      <c r="A34" s="92"/>
      <c r="B34" s="92"/>
      <c r="C34" s="92" t="s">
        <v>136</v>
      </c>
      <c r="D34" s="92"/>
      <c r="E34" s="92"/>
      <c r="F34" s="92"/>
      <c r="G34" s="92"/>
      <c r="H34" s="90"/>
      <c r="I34" s="91"/>
      <c r="J34" s="90"/>
      <c r="K34" s="90"/>
      <c r="L34" s="90"/>
      <c r="M34" s="90"/>
      <c r="N34" s="90"/>
      <c r="O34" s="90"/>
      <c r="P34" s="90"/>
      <c r="Q34" s="107"/>
      <c r="R34" s="107"/>
      <c r="S34" s="107"/>
      <c r="T34" s="107"/>
      <c r="U34" s="107"/>
    </row>
    <row r="35" spans="1:21">
      <c r="A35" s="92"/>
      <c r="B35" s="92"/>
      <c r="C35" s="92"/>
      <c r="D35" s="92" t="s">
        <v>135</v>
      </c>
      <c r="E35" s="92"/>
      <c r="F35" s="92"/>
      <c r="G35" s="92"/>
      <c r="H35" s="90"/>
      <c r="I35" s="91"/>
      <c r="J35" s="90"/>
      <c r="K35" s="90"/>
      <c r="L35" s="90"/>
      <c r="M35" s="90"/>
      <c r="N35" s="90"/>
      <c r="O35" s="90"/>
      <c r="P35" s="90"/>
      <c r="Q35" s="107"/>
      <c r="R35" s="107"/>
      <c r="S35" s="107"/>
      <c r="T35" s="107"/>
      <c r="U35" s="107"/>
    </row>
    <row r="36" spans="1:21">
      <c r="A36" s="96"/>
      <c r="B36" s="96"/>
      <c r="C36" s="96"/>
      <c r="D36" s="96"/>
      <c r="E36" s="96"/>
      <c r="F36" s="96"/>
      <c r="G36" s="96" t="s">
        <v>46</v>
      </c>
      <c r="H36" s="94"/>
      <c r="I36" s="95">
        <v>44694</v>
      </c>
      <c r="J36" s="94"/>
      <c r="K36" s="94" t="s">
        <v>226</v>
      </c>
      <c r="L36" s="94"/>
      <c r="M36" s="94" t="s">
        <v>50</v>
      </c>
      <c r="N36" s="94"/>
      <c r="O36" s="94" t="s">
        <v>133</v>
      </c>
      <c r="P36" s="94"/>
      <c r="Q36" s="109"/>
      <c r="R36" s="109"/>
      <c r="S36" s="109">
        <v>210084</v>
      </c>
      <c r="T36" s="109"/>
      <c r="U36" s="109">
        <v>-210084</v>
      </c>
    </row>
    <row r="37" spans="1:21">
      <c r="A37" s="96"/>
      <c r="B37" s="96"/>
      <c r="C37" s="96"/>
      <c r="D37" s="96"/>
      <c r="E37" s="96"/>
      <c r="F37" s="96"/>
      <c r="G37" s="96" t="s">
        <v>46</v>
      </c>
      <c r="H37" s="94"/>
      <c r="I37" s="95">
        <v>44732</v>
      </c>
      <c r="J37" s="94"/>
      <c r="K37" s="94" t="s">
        <v>225</v>
      </c>
      <c r="L37" s="94"/>
      <c r="M37" s="94" t="s">
        <v>50</v>
      </c>
      <c r="N37" s="94"/>
      <c r="O37" s="94" t="s">
        <v>125</v>
      </c>
      <c r="P37" s="94"/>
      <c r="Q37" s="109"/>
      <c r="R37" s="109"/>
      <c r="S37" s="109">
        <v>289966</v>
      </c>
      <c r="T37" s="109"/>
      <c r="U37" s="109">
        <v>-500050</v>
      </c>
    </row>
    <row r="38" spans="1:21">
      <c r="A38" s="96"/>
      <c r="B38" s="96"/>
      <c r="C38" s="96"/>
      <c r="D38" s="96"/>
      <c r="E38" s="96"/>
      <c r="F38" s="96"/>
      <c r="G38" s="96" t="s">
        <v>46</v>
      </c>
      <c r="H38" s="94"/>
      <c r="I38" s="95">
        <v>44775</v>
      </c>
      <c r="J38" s="94"/>
      <c r="K38" s="94" t="s">
        <v>223</v>
      </c>
      <c r="L38" s="94"/>
      <c r="M38" s="94" t="s">
        <v>50</v>
      </c>
      <c r="N38" s="94"/>
      <c r="O38" s="94" t="s">
        <v>125</v>
      </c>
      <c r="P38" s="94"/>
      <c r="Q38" s="109"/>
      <c r="R38" s="109"/>
      <c r="S38" s="109">
        <v>356756.5</v>
      </c>
      <c r="T38" s="109"/>
      <c r="U38" s="109">
        <v>-856806.5</v>
      </c>
    </row>
    <row r="39" spans="1:21">
      <c r="A39" s="96"/>
      <c r="B39" s="96"/>
      <c r="C39" s="96"/>
      <c r="D39" s="96"/>
      <c r="E39" s="96"/>
      <c r="F39" s="96"/>
      <c r="G39" s="96" t="s">
        <v>46</v>
      </c>
      <c r="H39" s="94"/>
      <c r="I39" s="95">
        <v>44795</v>
      </c>
      <c r="J39" s="94"/>
      <c r="K39" s="94" t="s">
        <v>221</v>
      </c>
      <c r="L39" s="94"/>
      <c r="M39" s="94" t="s">
        <v>50</v>
      </c>
      <c r="N39" s="94"/>
      <c r="O39" s="94" t="s">
        <v>125</v>
      </c>
      <c r="P39" s="94"/>
      <c r="Q39" s="109"/>
      <c r="R39" s="109"/>
      <c r="S39" s="109">
        <v>164167.5</v>
      </c>
      <c r="T39" s="109"/>
      <c r="U39" s="109">
        <v>-1020974</v>
      </c>
    </row>
    <row r="40" spans="1:21" ht="15.75" thickBot="1">
      <c r="A40" s="96"/>
      <c r="B40" s="96"/>
      <c r="C40" s="96"/>
      <c r="D40" s="96"/>
      <c r="E40" s="96"/>
      <c r="F40" s="96"/>
      <c r="G40" s="96" t="s">
        <v>46</v>
      </c>
      <c r="H40" s="94"/>
      <c r="I40" s="95">
        <v>44905</v>
      </c>
      <c r="J40" s="94"/>
      <c r="K40" s="94" t="s">
        <v>224</v>
      </c>
      <c r="L40" s="94"/>
      <c r="M40" s="94" t="s">
        <v>50</v>
      </c>
      <c r="N40" s="94"/>
      <c r="O40" s="94" t="s">
        <v>125</v>
      </c>
      <c r="P40" s="94"/>
      <c r="Q40" s="112"/>
      <c r="R40" s="109"/>
      <c r="S40" s="112">
        <v>270844.40000000002</v>
      </c>
      <c r="T40" s="109"/>
      <c r="U40" s="112">
        <v>-1291818.3999999999</v>
      </c>
    </row>
    <row r="41" spans="1:21">
      <c r="A41" s="96"/>
      <c r="B41" s="96"/>
      <c r="C41" s="96"/>
      <c r="D41" s="96" t="s">
        <v>124</v>
      </c>
      <c r="E41" s="96"/>
      <c r="F41" s="96"/>
      <c r="G41" s="96"/>
      <c r="H41" s="94"/>
      <c r="I41" s="95"/>
      <c r="J41" s="94"/>
      <c r="K41" s="94"/>
      <c r="L41" s="94"/>
      <c r="M41" s="94"/>
      <c r="N41" s="94"/>
      <c r="O41" s="94"/>
      <c r="P41" s="94"/>
      <c r="Q41" s="109">
        <f>ROUND(SUM(Q35:Q40),5)</f>
        <v>0</v>
      </c>
      <c r="R41" s="109"/>
      <c r="S41" s="109">
        <f>ROUND(SUM(S35:S40),5)</f>
        <v>1291818.3999999999</v>
      </c>
      <c r="T41" s="109"/>
      <c r="U41" s="109">
        <f>U40</f>
        <v>-1291818.3999999999</v>
      </c>
    </row>
    <row r="42" spans="1:21">
      <c r="A42" s="92"/>
      <c r="B42" s="92"/>
      <c r="C42" s="92"/>
      <c r="D42" s="92" t="s">
        <v>201</v>
      </c>
      <c r="E42" s="92"/>
      <c r="F42" s="92"/>
      <c r="G42" s="92"/>
      <c r="H42" s="90"/>
      <c r="I42" s="91"/>
      <c r="J42" s="90"/>
      <c r="K42" s="90"/>
      <c r="L42" s="90"/>
      <c r="M42" s="90"/>
      <c r="N42" s="90"/>
      <c r="O42" s="90"/>
      <c r="P42" s="90"/>
      <c r="Q42" s="107"/>
      <c r="R42" s="107"/>
      <c r="S42" s="107"/>
      <c r="T42" s="107"/>
      <c r="U42" s="107"/>
    </row>
    <row r="43" spans="1:21">
      <c r="A43" s="96"/>
      <c r="B43" s="96"/>
      <c r="C43" s="96"/>
      <c r="D43" s="96"/>
      <c r="E43" s="96"/>
      <c r="F43" s="96"/>
      <c r="G43" s="96" t="s">
        <v>46</v>
      </c>
      <c r="H43" s="94"/>
      <c r="I43" s="95">
        <v>44775</v>
      </c>
      <c r="J43" s="94"/>
      <c r="K43" s="94" t="s">
        <v>223</v>
      </c>
      <c r="L43" s="94"/>
      <c r="M43" s="94" t="s">
        <v>50</v>
      </c>
      <c r="N43" s="94"/>
      <c r="O43" s="94" t="s">
        <v>222</v>
      </c>
      <c r="P43" s="94"/>
      <c r="Q43" s="109">
        <v>4681.76</v>
      </c>
      <c r="R43" s="109"/>
      <c r="S43" s="109"/>
      <c r="T43" s="109"/>
      <c r="U43" s="109">
        <v>4681.76</v>
      </c>
    </row>
    <row r="44" spans="1:21" ht="15.75" thickBot="1">
      <c r="A44" s="96"/>
      <c r="B44" s="96"/>
      <c r="C44" s="96"/>
      <c r="D44" s="96"/>
      <c r="E44" s="96"/>
      <c r="F44" s="96"/>
      <c r="G44" s="96" t="s">
        <v>46</v>
      </c>
      <c r="H44" s="94"/>
      <c r="I44" s="95">
        <v>44795</v>
      </c>
      <c r="J44" s="94"/>
      <c r="K44" s="94" t="s">
        <v>221</v>
      </c>
      <c r="L44" s="94"/>
      <c r="M44" s="94" t="s">
        <v>50</v>
      </c>
      <c r="N44" s="94"/>
      <c r="O44" s="94" t="s">
        <v>220</v>
      </c>
      <c r="P44" s="94"/>
      <c r="Q44" s="110">
        <v>9945.4699999999993</v>
      </c>
      <c r="R44" s="109"/>
      <c r="S44" s="110"/>
      <c r="T44" s="109"/>
      <c r="U44" s="110">
        <v>14627.23</v>
      </c>
    </row>
    <row r="45" spans="1:21" ht="15.75" thickBot="1">
      <c r="A45" s="96"/>
      <c r="B45" s="96"/>
      <c r="C45" s="96"/>
      <c r="D45" s="96" t="s">
        <v>198</v>
      </c>
      <c r="E45" s="96"/>
      <c r="F45" s="96"/>
      <c r="G45" s="96"/>
      <c r="H45" s="94"/>
      <c r="I45" s="95"/>
      <c r="J45" s="94"/>
      <c r="K45" s="94"/>
      <c r="L45" s="94"/>
      <c r="M45" s="94"/>
      <c r="N45" s="94"/>
      <c r="O45" s="94"/>
      <c r="P45" s="94"/>
      <c r="Q45" s="108">
        <f>ROUND(SUM(Q42:Q44),5)</f>
        <v>14627.23</v>
      </c>
      <c r="R45" s="109"/>
      <c r="S45" s="108">
        <f>ROUND(SUM(S42:S44),5)</f>
        <v>0</v>
      </c>
      <c r="T45" s="109"/>
      <c r="U45" s="108">
        <f>U44</f>
        <v>14627.23</v>
      </c>
    </row>
    <row r="46" spans="1:21" ht="15.75" thickBot="1">
      <c r="A46" s="96"/>
      <c r="B46" s="96"/>
      <c r="C46" s="96" t="s">
        <v>123</v>
      </c>
      <c r="D46" s="96"/>
      <c r="E46" s="96"/>
      <c r="F46" s="96"/>
      <c r="G46" s="96"/>
      <c r="H46" s="94"/>
      <c r="I46" s="95"/>
      <c r="J46" s="94"/>
      <c r="K46" s="94"/>
      <c r="L46" s="94"/>
      <c r="M46" s="94"/>
      <c r="N46" s="94"/>
      <c r="O46" s="94"/>
      <c r="P46" s="94"/>
      <c r="Q46" s="108">
        <f>ROUND(Q41+Q45,5)</f>
        <v>14627.23</v>
      </c>
      <c r="R46" s="109"/>
      <c r="S46" s="108">
        <f>ROUND(S41+S45,5)</f>
        <v>1291818.3999999999</v>
      </c>
      <c r="T46" s="109"/>
      <c r="U46" s="108">
        <f>ROUND(U41+U45,5)</f>
        <v>-1277191.17</v>
      </c>
    </row>
    <row r="47" spans="1:21" ht="15.75" thickBot="1">
      <c r="A47" s="96"/>
      <c r="B47" s="96" t="s">
        <v>122</v>
      </c>
      <c r="C47" s="96"/>
      <c r="D47" s="96"/>
      <c r="E47" s="96"/>
      <c r="F47" s="96"/>
      <c r="G47" s="96"/>
      <c r="H47" s="94"/>
      <c r="I47" s="95"/>
      <c r="J47" s="94"/>
      <c r="K47" s="94"/>
      <c r="L47" s="94"/>
      <c r="M47" s="94"/>
      <c r="N47" s="94"/>
      <c r="O47" s="94"/>
      <c r="P47" s="94"/>
      <c r="Q47" s="108">
        <f>Q46</f>
        <v>14627.23</v>
      </c>
      <c r="R47" s="109"/>
      <c r="S47" s="108">
        <f>S46</f>
        <v>1291818.3999999999</v>
      </c>
      <c r="T47" s="109"/>
      <c r="U47" s="108">
        <f>U46</f>
        <v>-1277191.17</v>
      </c>
    </row>
    <row r="48" spans="1:21" s="88" customFormat="1" ht="13.5" thickBot="1">
      <c r="A48" s="92" t="s">
        <v>121</v>
      </c>
      <c r="B48" s="92"/>
      <c r="C48" s="92"/>
      <c r="D48" s="92"/>
      <c r="E48" s="92"/>
      <c r="F48" s="92"/>
      <c r="G48" s="92"/>
      <c r="H48" s="90"/>
      <c r="I48" s="91"/>
      <c r="J48" s="90"/>
      <c r="K48" s="90"/>
      <c r="L48" s="90"/>
      <c r="M48" s="90"/>
      <c r="N48" s="90"/>
      <c r="O48" s="90"/>
      <c r="P48" s="90"/>
      <c r="Q48" s="106">
        <f>ROUND(Q13+Q25+Q32+Q47,5)</f>
        <v>1342906.05</v>
      </c>
      <c r="R48" s="107"/>
      <c r="S48" s="106">
        <f>ROUND(S13+S25+S32+S47,5)</f>
        <v>2415746.65</v>
      </c>
      <c r="T48" s="107"/>
      <c r="U48" s="106">
        <f>ROUND(U13+U25+U32+U47,5)</f>
        <v>-1072840.6000000001</v>
      </c>
    </row>
    <row r="49" ht="15.75" thickTop="1"/>
  </sheetData>
  <pageMargins left="0.7" right="0.7" top="0.75" bottom="0.75" header="0.1" footer="0.3"/>
  <pageSetup orientation="portrait" r:id="rId1"/>
  <headerFooter>
    <oddHeader>&amp;L&amp;"Arial,Bold"&amp;10 9:21 AM
&amp;"Arial,Bold"&amp;10 08-01-23
&amp;"Arial,Bold"&amp;10 Accrual Basis&amp;C&amp;"Arial,Bold"&amp;12 INTHAR SAFETY &amp;&amp; SECURITY SYSTEMS LLC
&amp;"Arial,Bold"&amp;14 Custom Transaction Detail Report
&amp;"Arial,Bold"&amp;10 All Transactions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8194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476250</xdr:colOff>
                <xdr:row>1</xdr:row>
                <xdr:rowOff>28575</xdr:rowOff>
              </to>
            </anchor>
          </controlPr>
        </control>
      </mc:Choice>
      <mc:Fallback>
        <control shapeId="8194" r:id="rId4" name="HEADER"/>
      </mc:Fallback>
    </mc:AlternateContent>
    <mc:AlternateContent xmlns:mc="http://schemas.openxmlformats.org/markup-compatibility/2006">
      <mc:Choice Requires="x14">
        <control shapeId="8193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476250</xdr:colOff>
                <xdr:row>1</xdr:row>
                <xdr:rowOff>28575</xdr:rowOff>
              </to>
            </anchor>
          </controlPr>
        </control>
      </mc:Choice>
      <mc:Fallback>
        <control shapeId="8193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29</vt:i4>
      </vt:variant>
    </vt:vector>
  </HeadingPairs>
  <TitlesOfParts>
    <vt:vector size="50" baseType="lpstr">
      <vt:lpstr>373 only</vt:lpstr>
      <vt:lpstr>373 statement</vt:lpstr>
      <vt:lpstr>SOA 27-08-2023 Ret. excl.vat</vt:lpstr>
      <vt:lpstr>SOA 27-08-2023 Ret. Incl vat</vt:lpstr>
      <vt:lpstr>Al Muhanad Variation 27-08-223</vt:lpstr>
      <vt:lpstr>Cunsultant Approval</vt:lpstr>
      <vt:lpstr>SOA Recon with Memco 26-8-2023</vt:lpstr>
      <vt:lpstr>26-08-2023</vt:lpstr>
      <vt:lpstr>SOA Recon with Memco 23-8-2023</vt:lpstr>
      <vt:lpstr>Ledgers 23-08-2023</vt:lpstr>
      <vt:lpstr>Statement Reconc with Memco</vt:lpstr>
      <vt:lpstr>Al Muhanad Statement</vt:lpstr>
      <vt:lpstr>Statement of account</vt:lpstr>
      <vt:lpstr>Payment Details.</vt:lpstr>
      <vt:lpstr>Payment Details</vt:lpstr>
      <vt:lpstr>Received Payment </vt:lpstr>
      <vt:lpstr>Al Muhanad Ledger</vt:lpstr>
      <vt:lpstr>366</vt:lpstr>
      <vt:lpstr>373</vt:lpstr>
      <vt:lpstr>374</vt:lpstr>
      <vt:lpstr>375</vt:lpstr>
      <vt:lpstr>'26-08-2023'!Print_Area</vt:lpstr>
      <vt:lpstr>'373 only'!Print_Area</vt:lpstr>
      <vt:lpstr>'373 statement'!Print_Area</vt:lpstr>
      <vt:lpstr>'Al Muhanad Variation 27-08-223'!Print_Area</vt:lpstr>
      <vt:lpstr>'Cunsultant Approval'!Print_Area</vt:lpstr>
      <vt:lpstr>'Ledgers 23-08-2023'!Print_Area</vt:lpstr>
      <vt:lpstr>'Received Payment '!Print_Area</vt:lpstr>
      <vt:lpstr>'SOA 27-08-2023 Ret. excl.vat'!Print_Area</vt:lpstr>
      <vt:lpstr>'SOA 27-08-2023 Ret. Incl vat'!Print_Area</vt:lpstr>
      <vt:lpstr>'SOA Recon with Memco 23-8-2023'!Print_Area</vt:lpstr>
      <vt:lpstr>'SOA Recon with Memco 26-8-2023'!Print_Area</vt:lpstr>
      <vt:lpstr>'Statement of account'!Print_Area</vt:lpstr>
      <vt:lpstr>'Statement Reconc with Memco'!Print_Area</vt:lpstr>
      <vt:lpstr>'366'!Print_Titles</vt:lpstr>
      <vt:lpstr>'373'!Print_Titles</vt:lpstr>
      <vt:lpstr>'373 only'!Print_Titles</vt:lpstr>
      <vt:lpstr>'373 statement'!Print_Titles</vt:lpstr>
      <vt:lpstr>'374'!Print_Titles</vt:lpstr>
      <vt:lpstr>'375'!Print_Titles</vt:lpstr>
      <vt:lpstr>'Al Muhanad Ledger'!Print_Titles</vt:lpstr>
      <vt:lpstr>'Payment Details'!Print_Titles</vt:lpstr>
      <vt:lpstr>'Payment Details.'!Print_Titles</vt:lpstr>
      <vt:lpstr>'Received Payment '!Print_Titles</vt:lpstr>
      <vt:lpstr>'SOA 27-08-2023 Ret. excl.vat'!Print_Titles</vt:lpstr>
      <vt:lpstr>'SOA 27-08-2023 Ret. Incl vat'!Print_Titles</vt:lpstr>
      <vt:lpstr>'SOA Recon with Memco 23-8-2023'!Print_Titles</vt:lpstr>
      <vt:lpstr>'SOA Recon with Memco 26-8-2023'!Print_Titles</vt:lpstr>
      <vt:lpstr>'Statement of account'!Print_Titles</vt:lpstr>
      <vt:lpstr>'Statement Reconc with Memco'!Print_Titles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2024-01-07T09:14:21Z</dcterms:modified>
</cp:coreProperties>
</file>